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imulado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R$ #,##0.00"/>
    <numFmt numFmtId="165" formatCode="0.0%"/>
  </numFmts>
  <fonts count="12">
    <font>
      <name val="Calibri"/>
      <family val="2"/>
      <color theme="1"/>
      <sz val="11"/>
      <scheme val="minor"/>
    </font>
    <font>
      <name val="Calibri"/>
      <b val="1"/>
      <color rgb="003BE0C6"/>
      <sz val="20"/>
    </font>
    <font>
      <name val="Calibri"/>
      <b val="1"/>
      <color rgb="00FFFFFF"/>
      <sz val="11"/>
    </font>
    <font>
      <name val="Calibri"/>
      <b val="1"/>
      <color rgb="0012B39A"/>
      <sz val="10"/>
    </font>
    <font>
      <name val="Calibri"/>
      <color rgb="000F1720"/>
      <sz val="11"/>
    </font>
    <font>
      <name val="Calibri"/>
      <b val="1"/>
      <color rgb="000F1720"/>
      <sz val="12"/>
    </font>
    <font>
      <name val="Calibri"/>
      <b val="1"/>
      <color rgb="006B7887"/>
      <sz val="9"/>
    </font>
    <font>
      <name val="Calibri"/>
      <b val="1"/>
      <color rgb="0012B39A"/>
      <sz val="16"/>
    </font>
    <font>
      <name val="Calibri"/>
      <b val="1"/>
      <color rgb="000F1720"/>
      <sz val="16"/>
    </font>
    <font>
      <name val="Calibri"/>
      <b val="1"/>
      <color rgb="000F1720"/>
      <sz val="10"/>
    </font>
    <font>
      <name val="Calibri"/>
      <color rgb="000F1720"/>
      <sz val="10"/>
    </font>
    <font>
      <name val="Calibri"/>
      <color rgb="006B7887"/>
      <sz val="9"/>
    </font>
  </fonts>
  <fills count="6">
    <fill>
      <patternFill/>
    </fill>
    <fill>
      <patternFill patternType="gray125"/>
    </fill>
    <fill>
      <patternFill patternType="solid">
        <fgColor rgb="000B0F14"/>
      </patternFill>
    </fill>
    <fill>
      <patternFill patternType="solid">
        <fgColor rgb="0012B39A"/>
      </patternFill>
    </fill>
    <fill>
      <patternFill patternType="solid">
        <fgColor rgb="00E7F7F3"/>
      </patternFill>
    </fill>
    <fill>
      <patternFill patternType="solid">
        <fgColor rgb="00FFFFFF"/>
      </patternFill>
    </fill>
  </fills>
  <borders count="4">
    <border>
      <left/>
      <right/>
      <top/>
      <bottom/>
      <diagonal/>
    </border>
    <border>
      <left style="thin">
        <color rgb="00D7DEE5"/>
      </left>
      <right style="thin">
        <color rgb="00D7DEE5"/>
      </right>
      <top style="thin">
        <color rgb="00D7DEE5"/>
      </top>
      <bottom style="thin">
        <color rgb="00D7DEE5"/>
      </bottom>
    </border>
    <border>
      <left style="medium">
        <color rgb="0012B39A"/>
      </left>
      <right style="thin">
        <color rgb="00D7DEE5"/>
      </right>
      <top style="thin">
        <color rgb="00D7DEE5"/>
      </top>
      <bottom style="thin">
        <color rgb="00D7DEE5"/>
      </bottom>
    </border>
    <border>
      <left style="medium">
        <color rgb="000F1720"/>
      </left>
      <right style="thin">
        <color rgb="00D7DEE5"/>
      </right>
      <top style="thin">
        <color rgb="00D7DEE5"/>
      </top>
      <bottom style="thin">
        <color rgb="00D7DEE5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0" fillId="2" borderId="0" pivotButton="0" quotePrefix="0" xfId="0"/>
    <xf numFmtId="0" fontId="2" fillId="3" borderId="0" applyAlignment="1" pivotButton="0" quotePrefix="0" xfId="0">
      <alignment horizontal="left" vertical="center" indent="1"/>
    </xf>
    <xf numFmtId="0" fontId="0" fillId="3" borderId="0" pivotButton="0" quotePrefix="0" xfId="0"/>
    <xf numFmtId="0" fontId="3" fillId="0" borderId="0" pivotButton="0" quotePrefix="0" xfId="0"/>
    <xf numFmtId="0" fontId="6" fillId="4" borderId="1" applyAlignment="1" pivotButton="0" quotePrefix="0" xfId="0">
      <alignment horizontal="center" vertical="center"/>
    </xf>
    <xf numFmtId="0" fontId="4" fillId="4" borderId="1" applyAlignment="1" pivotButton="0" quotePrefix="0" xfId="0">
      <alignment horizontal="left" vertical="center"/>
    </xf>
    <xf numFmtId="164" fontId="5" fillId="5" borderId="1" applyAlignment="1" pivotButton="0" quotePrefix="0" xfId="0">
      <alignment horizontal="right" vertical="center"/>
    </xf>
    <xf numFmtId="164" fontId="7" fillId="5" borderId="2" applyAlignment="1" pivotButton="0" quotePrefix="0" xfId="0">
      <alignment horizontal="center" vertical="center"/>
    </xf>
    <xf numFmtId="165" fontId="5" fillId="5" borderId="1" applyAlignment="1" pivotButton="0" quotePrefix="0" xfId="0">
      <alignment horizontal="right" vertical="center"/>
    </xf>
    <xf numFmtId="1" fontId="5" fillId="5" borderId="1" applyAlignment="1" pivotButton="0" quotePrefix="0" xfId="0">
      <alignment horizontal="right" vertical="center"/>
    </xf>
    <xf numFmtId="164" fontId="8" fillId="5" borderId="3" applyAlignment="1" pivotButton="0" quotePrefix="0" xfId="0">
      <alignment horizontal="center" vertical="center"/>
    </xf>
    <xf numFmtId="0" fontId="9" fillId="0" borderId="0" pivotButton="0" quotePrefix="0" xfId="0"/>
    <xf numFmtId="0" fontId="2" fillId="3" borderId="1" applyAlignment="1" pivotButton="0" quotePrefix="0" xfId="0">
      <alignment horizontal="center" vertical="center"/>
    </xf>
    <xf numFmtId="0" fontId="10" fillId="0" borderId="1" applyAlignment="1" pivotButton="0" quotePrefix="0" xfId="0">
      <alignment horizontal="center" vertical="center"/>
    </xf>
    <xf numFmtId="164" fontId="10" fillId="0" borderId="1" applyAlignment="1" pivotButton="0" quotePrefix="0" xfId="0">
      <alignment horizontal="right" vertical="center"/>
    </xf>
    <xf numFmtId="0" fontId="11" fillId="0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16"/>
  <sheetViews>
    <sheetView showGridLines="0" workbookViewId="0">
      <pane ySplit="13" topLeftCell="A14" activePane="bottomLeft" state="frozen"/>
      <selection pane="bottomLeft" activeCell="A1" sqref="A1"/>
    </sheetView>
  </sheetViews>
  <sheetFormatPr baseColWidth="8" defaultRowHeight="15"/>
  <cols>
    <col width="2.5" customWidth="1" min="1" max="1"/>
    <col width="24" customWidth="1" min="2" max="2"/>
    <col width="18" customWidth="1" min="3" max="3"/>
    <col width="18" customWidth="1" min="4" max="4"/>
    <col width="24" customWidth="1" min="5" max="5"/>
    <col width="18" customWidth="1" min="6" max="6"/>
    <col width="2.5" customWidth="1" min="7" max="7"/>
  </cols>
  <sheetData>
    <row r="1" ht="30" customHeight="1">
      <c r="A1" s="1" t="inlineStr">
        <is>
          <t>Raria.ia</t>
        </is>
      </c>
      <c r="B1" s="2" t="n"/>
      <c r="C1" s="2" t="n"/>
      <c r="D1" s="2" t="n"/>
      <c r="E1" s="2" t="n"/>
      <c r="F1" s="2" t="n"/>
    </row>
    <row r="2" ht="20" customHeight="1">
      <c r="A2" s="3" t="inlineStr">
        <is>
          <t>SIMULADOR DE INVESTIMENTOS — juros compostos</t>
        </is>
      </c>
      <c r="B2" s="4" t="n"/>
      <c r="C2" s="4" t="n"/>
      <c r="D2" s="4" t="n"/>
      <c r="E2" s="4" t="n"/>
      <c r="F2" s="4" t="n"/>
    </row>
    <row r="4">
      <c r="B4" s="5" t="inlineStr">
        <is>
          <t>PREENCHA AQUI</t>
        </is>
      </c>
      <c r="E4" s="6" t="inlineStr">
        <is>
          <t>VALOR FINAL</t>
        </is>
      </c>
    </row>
    <row r="5">
      <c r="B5" s="7" t="inlineStr">
        <is>
          <t>Aporte inicial</t>
        </is>
      </c>
      <c r="C5" s="8" t="n">
        <v>1000</v>
      </c>
      <c r="E5" s="9">
        <f>INDEX($D$14:$D$500,MATCH($C$8,$A$14:$A$500,0))</f>
        <v/>
      </c>
    </row>
    <row r="6">
      <c r="B6" s="7" t="inlineStr">
        <is>
          <t>Aporte mensal</t>
        </is>
      </c>
      <c r="C6" s="8" t="n">
        <v>500</v>
      </c>
    </row>
    <row r="7">
      <c r="B7" s="7" t="inlineStr">
        <is>
          <t>Juros ao mês</t>
        </is>
      </c>
      <c r="C7" s="10" t="n">
        <v>0.01</v>
      </c>
      <c r="E7" s="6" t="inlineStr">
        <is>
          <t>TOTAL INVESTIDO</t>
        </is>
      </c>
    </row>
    <row r="8">
      <c r="B8" s="7" t="inlineStr">
        <is>
          <t>Prazo (meses)</t>
        </is>
      </c>
      <c r="C8" s="11" t="n">
        <v>120</v>
      </c>
      <c r="E8" s="12">
        <f>INDEX($C$14:$C$500,MATCH($C$8,$A$14:$A$500,0))</f>
        <v/>
      </c>
    </row>
    <row r="10">
      <c r="E10" s="6" t="inlineStr">
        <is>
          <t>JUROS GANHOS</t>
        </is>
      </c>
    </row>
    <row r="11">
      <c r="E11" s="9">
        <f>E5-E8</f>
        <v/>
      </c>
    </row>
    <row r="12">
      <c r="B12" s="13" t="inlineStr">
        <is>
          <t>EVOLUÇÃO MÊS A MÊS</t>
        </is>
      </c>
    </row>
    <row r="13">
      <c r="A13" s="14" t="inlineStr">
        <is>
          <t>Mês</t>
        </is>
      </c>
      <c r="B13" s="14" t="inlineStr">
        <is>
          <t>Aporte do mês</t>
        </is>
      </c>
      <c r="C13" s="14" t="inlineStr">
        <is>
          <t>Total investido</t>
        </is>
      </c>
      <c r="D13" s="14" t="inlineStr">
        <is>
          <t>Montante</t>
        </is>
      </c>
      <c r="E13" s="14" t="inlineStr">
        <is>
          <t>Juros acumulados</t>
        </is>
      </c>
    </row>
    <row r="14">
      <c r="A14" s="15">
        <f>IF(0&gt;$C$8,"",0)</f>
        <v/>
      </c>
      <c r="B14" s="16">
        <f>IF(0&gt;$C$8,"",$C$5)</f>
        <v/>
      </c>
      <c r="C14" s="16">
        <f>IF(0&gt;$C$8,"",$C$5)</f>
        <v/>
      </c>
      <c r="D14" s="16">
        <f>IF(0&gt;$C$8,"",$C$5)</f>
        <v/>
      </c>
      <c r="E14" s="16">
        <f>IF(0&gt;$C$8,"",D14-C14)</f>
        <v/>
      </c>
    </row>
    <row r="15">
      <c r="A15" s="15">
        <f>IF(1&gt;$C$8,"",1)</f>
        <v/>
      </c>
      <c r="B15" s="16">
        <f>IF(1&gt;$C$8,"",$C$6)</f>
        <v/>
      </c>
      <c r="C15" s="16">
        <f>IF(1&gt;$C$8,"",C14+$C$6)</f>
        <v/>
      </c>
      <c r="D15" s="16">
        <f>IF(1&gt;$C$8,"",D14*(1+$C$7)+$C$6)</f>
        <v/>
      </c>
      <c r="E15" s="16">
        <f>IF(1&gt;$C$8,"",D15-C15)</f>
        <v/>
      </c>
    </row>
    <row r="16">
      <c r="A16" s="15">
        <f>IF(2&gt;$C$8,"",2)</f>
        <v/>
      </c>
      <c r="B16" s="16">
        <f>IF(2&gt;$C$8,"",$C$6)</f>
        <v/>
      </c>
      <c r="C16" s="16">
        <f>IF(2&gt;$C$8,"",C15+$C$6)</f>
        <v/>
      </c>
      <c r="D16" s="16">
        <f>IF(2&gt;$C$8,"",D15*(1+$C$7)+$C$6)</f>
        <v/>
      </c>
      <c r="E16" s="16">
        <f>IF(2&gt;$C$8,"",D16-C16)</f>
        <v/>
      </c>
    </row>
    <row r="17">
      <c r="A17" s="15">
        <f>IF(3&gt;$C$8,"",3)</f>
        <v/>
      </c>
      <c r="B17" s="16">
        <f>IF(3&gt;$C$8,"",$C$6)</f>
        <v/>
      </c>
      <c r="C17" s="16">
        <f>IF(3&gt;$C$8,"",C16+$C$6)</f>
        <v/>
      </c>
      <c r="D17" s="16">
        <f>IF(3&gt;$C$8,"",D16*(1+$C$7)+$C$6)</f>
        <v/>
      </c>
      <c r="E17" s="16">
        <f>IF(3&gt;$C$8,"",D17-C17)</f>
        <v/>
      </c>
    </row>
    <row r="18">
      <c r="A18" s="15">
        <f>IF(4&gt;$C$8,"",4)</f>
        <v/>
      </c>
      <c r="B18" s="16">
        <f>IF(4&gt;$C$8,"",$C$6)</f>
        <v/>
      </c>
      <c r="C18" s="16">
        <f>IF(4&gt;$C$8,"",C17+$C$6)</f>
        <v/>
      </c>
      <c r="D18" s="16">
        <f>IF(4&gt;$C$8,"",D17*(1+$C$7)+$C$6)</f>
        <v/>
      </c>
      <c r="E18" s="16">
        <f>IF(4&gt;$C$8,"",D18-C18)</f>
        <v/>
      </c>
    </row>
    <row r="19">
      <c r="A19" s="15">
        <f>IF(5&gt;$C$8,"",5)</f>
        <v/>
      </c>
      <c r="B19" s="16">
        <f>IF(5&gt;$C$8,"",$C$6)</f>
        <v/>
      </c>
      <c r="C19" s="16">
        <f>IF(5&gt;$C$8,"",C18+$C$6)</f>
        <v/>
      </c>
      <c r="D19" s="16">
        <f>IF(5&gt;$C$8,"",D18*(1+$C$7)+$C$6)</f>
        <v/>
      </c>
      <c r="E19" s="16">
        <f>IF(5&gt;$C$8,"",D19-C19)</f>
        <v/>
      </c>
    </row>
    <row r="20">
      <c r="A20" s="15">
        <f>IF(6&gt;$C$8,"",6)</f>
        <v/>
      </c>
      <c r="B20" s="16">
        <f>IF(6&gt;$C$8,"",$C$6)</f>
        <v/>
      </c>
      <c r="C20" s="16">
        <f>IF(6&gt;$C$8,"",C19+$C$6)</f>
        <v/>
      </c>
      <c r="D20" s="16">
        <f>IF(6&gt;$C$8,"",D19*(1+$C$7)+$C$6)</f>
        <v/>
      </c>
      <c r="E20" s="16">
        <f>IF(6&gt;$C$8,"",D20-C20)</f>
        <v/>
      </c>
    </row>
    <row r="21">
      <c r="A21" s="15">
        <f>IF(7&gt;$C$8,"",7)</f>
        <v/>
      </c>
      <c r="B21" s="16">
        <f>IF(7&gt;$C$8,"",$C$6)</f>
        <v/>
      </c>
      <c r="C21" s="16">
        <f>IF(7&gt;$C$8,"",C20+$C$6)</f>
        <v/>
      </c>
      <c r="D21" s="16">
        <f>IF(7&gt;$C$8,"",D20*(1+$C$7)+$C$6)</f>
        <v/>
      </c>
      <c r="E21" s="16">
        <f>IF(7&gt;$C$8,"",D21-C21)</f>
        <v/>
      </c>
    </row>
    <row r="22">
      <c r="A22" s="15">
        <f>IF(8&gt;$C$8,"",8)</f>
        <v/>
      </c>
      <c r="B22" s="16">
        <f>IF(8&gt;$C$8,"",$C$6)</f>
        <v/>
      </c>
      <c r="C22" s="16">
        <f>IF(8&gt;$C$8,"",C21+$C$6)</f>
        <v/>
      </c>
      <c r="D22" s="16">
        <f>IF(8&gt;$C$8,"",D21*(1+$C$7)+$C$6)</f>
        <v/>
      </c>
      <c r="E22" s="16">
        <f>IF(8&gt;$C$8,"",D22-C22)</f>
        <v/>
      </c>
    </row>
    <row r="23">
      <c r="A23" s="15">
        <f>IF(9&gt;$C$8,"",9)</f>
        <v/>
      </c>
      <c r="B23" s="16">
        <f>IF(9&gt;$C$8,"",$C$6)</f>
        <v/>
      </c>
      <c r="C23" s="16">
        <f>IF(9&gt;$C$8,"",C22+$C$6)</f>
        <v/>
      </c>
      <c r="D23" s="16">
        <f>IF(9&gt;$C$8,"",D22*(1+$C$7)+$C$6)</f>
        <v/>
      </c>
      <c r="E23" s="16">
        <f>IF(9&gt;$C$8,"",D23-C23)</f>
        <v/>
      </c>
    </row>
    <row r="24">
      <c r="A24" s="15">
        <f>IF(10&gt;$C$8,"",10)</f>
        <v/>
      </c>
      <c r="B24" s="16">
        <f>IF(10&gt;$C$8,"",$C$6)</f>
        <v/>
      </c>
      <c r="C24" s="16">
        <f>IF(10&gt;$C$8,"",C23+$C$6)</f>
        <v/>
      </c>
      <c r="D24" s="16">
        <f>IF(10&gt;$C$8,"",D23*(1+$C$7)+$C$6)</f>
        <v/>
      </c>
      <c r="E24" s="16">
        <f>IF(10&gt;$C$8,"",D24-C24)</f>
        <v/>
      </c>
    </row>
    <row r="25">
      <c r="A25" s="15">
        <f>IF(11&gt;$C$8,"",11)</f>
        <v/>
      </c>
      <c r="B25" s="16">
        <f>IF(11&gt;$C$8,"",$C$6)</f>
        <v/>
      </c>
      <c r="C25" s="16">
        <f>IF(11&gt;$C$8,"",C24+$C$6)</f>
        <v/>
      </c>
      <c r="D25" s="16">
        <f>IF(11&gt;$C$8,"",D24*(1+$C$7)+$C$6)</f>
        <v/>
      </c>
      <c r="E25" s="16">
        <f>IF(11&gt;$C$8,"",D25-C25)</f>
        <v/>
      </c>
    </row>
    <row r="26">
      <c r="A26" s="15">
        <f>IF(12&gt;$C$8,"",12)</f>
        <v/>
      </c>
      <c r="B26" s="16">
        <f>IF(12&gt;$C$8,"",$C$6)</f>
        <v/>
      </c>
      <c r="C26" s="16">
        <f>IF(12&gt;$C$8,"",C25+$C$6)</f>
        <v/>
      </c>
      <c r="D26" s="16">
        <f>IF(12&gt;$C$8,"",D25*(1+$C$7)+$C$6)</f>
        <v/>
      </c>
      <c r="E26" s="16">
        <f>IF(12&gt;$C$8,"",D26-C26)</f>
        <v/>
      </c>
    </row>
    <row r="27">
      <c r="A27" s="15">
        <f>IF(13&gt;$C$8,"",13)</f>
        <v/>
      </c>
      <c r="B27" s="16">
        <f>IF(13&gt;$C$8,"",$C$6)</f>
        <v/>
      </c>
      <c r="C27" s="16">
        <f>IF(13&gt;$C$8,"",C26+$C$6)</f>
        <v/>
      </c>
      <c r="D27" s="16">
        <f>IF(13&gt;$C$8,"",D26*(1+$C$7)+$C$6)</f>
        <v/>
      </c>
      <c r="E27" s="16">
        <f>IF(13&gt;$C$8,"",D27-C27)</f>
        <v/>
      </c>
    </row>
    <row r="28">
      <c r="A28" s="15">
        <f>IF(14&gt;$C$8,"",14)</f>
        <v/>
      </c>
      <c r="B28" s="16">
        <f>IF(14&gt;$C$8,"",$C$6)</f>
        <v/>
      </c>
      <c r="C28" s="16">
        <f>IF(14&gt;$C$8,"",C27+$C$6)</f>
        <v/>
      </c>
      <c r="D28" s="16">
        <f>IF(14&gt;$C$8,"",D27*(1+$C$7)+$C$6)</f>
        <v/>
      </c>
      <c r="E28" s="16">
        <f>IF(14&gt;$C$8,"",D28-C28)</f>
        <v/>
      </c>
    </row>
    <row r="29">
      <c r="A29" s="15">
        <f>IF(15&gt;$C$8,"",15)</f>
        <v/>
      </c>
      <c r="B29" s="16">
        <f>IF(15&gt;$C$8,"",$C$6)</f>
        <v/>
      </c>
      <c r="C29" s="16">
        <f>IF(15&gt;$C$8,"",C28+$C$6)</f>
        <v/>
      </c>
      <c r="D29" s="16">
        <f>IF(15&gt;$C$8,"",D28*(1+$C$7)+$C$6)</f>
        <v/>
      </c>
      <c r="E29" s="16">
        <f>IF(15&gt;$C$8,"",D29-C29)</f>
        <v/>
      </c>
    </row>
    <row r="30">
      <c r="A30" s="15">
        <f>IF(16&gt;$C$8,"",16)</f>
        <v/>
      </c>
      <c r="B30" s="16">
        <f>IF(16&gt;$C$8,"",$C$6)</f>
        <v/>
      </c>
      <c r="C30" s="16">
        <f>IF(16&gt;$C$8,"",C29+$C$6)</f>
        <v/>
      </c>
      <c r="D30" s="16">
        <f>IF(16&gt;$C$8,"",D29*(1+$C$7)+$C$6)</f>
        <v/>
      </c>
      <c r="E30" s="16">
        <f>IF(16&gt;$C$8,"",D30-C30)</f>
        <v/>
      </c>
    </row>
    <row r="31">
      <c r="A31" s="15">
        <f>IF(17&gt;$C$8,"",17)</f>
        <v/>
      </c>
      <c r="B31" s="16">
        <f>IF(17&gt;$C$8,"",$C$6)</f>
        <v/>
      </c>
      <c r="C31" s="16">
        <f>IF(17&gt;$C$8,"",C30+$C$6)</f>
        <v/>
      </c>
      <c r="D31" s="16">
        <f>IF(17&gt;$C$8,"",D30*(1+$C$7)+$C$6)</f>
        <v/>
      </c>
      <c r="E31" s="16">
        <f>IF(17&gt;$C$8,"",D31-C31)</f>
        <v/>
      </c>
    </row>
    <row r="32">
      <c r="A32" s="15">
        <f>IF(18&gt;$C$8,"",18)</f>
        <v/>
      </c>
      <c r="B32" s="16">
        <f>IF(18&gt;$C$8,"",$C$6)</f>
        <v/>
      </c>
      <c r="C32" s="16">
        <f>IF(18&gt;$C$8,"",C31+$C$6)</f>
        <v/>
      </c>
      <c r="D32" s="16">
        <f>IF(18&gt;$C$8,"",D31*(1+$C$7)+$C$6)</f>
        <v/>
      </c>
      <c r="E32" s="16">
        <f>IF(18&gt;$C$8,"",D32-C32)</f>
        <v/>
      </c>
    </row>
    <row r="33">
      <c r="A33" s="15">
        <f>IF(19&gt;$C$8,"",19)</f>
        <v/>
      </c>
      <c r="B33" s="16">
        <f>IF(19&gt;$C$8,"",$C$6)</f>
        <v/>
      </c>
      <c r="C33" s="16">
        <f>IF(19&gt;$C$8,"",C32+$C$6)</f>
        <v/>
      </c>
      <c r="D33" s="16">
        <f>IF(19&gt;$C$8,"",D32*(1+$C$7)+$C$6)</f>
        <v/>
      </c>
      <c r="E33" s="16">
        <f>IF(19&gt;$C$8,"",D33-C33)</f>
        <v/>
      </c>
    </row>
    <row r="34">
      <c r="A34" s="15">
        <f>IF(20&gt;$C$8,"",20)</f>
        <v/>
      </c>
      <c r="B34" s="16">
        <f>IF(20&gt;$C$8,"",$C$6)</f>
        <v/>
      </c>
      <c r="C34" s="16">
        <f>IF(20&gt;$C$8,"",C33+$C$6)</f>
        <v/>
      </c>
      <c r="D34" s="16">
        <f>IF(20&gt;$C$8,"",D33*(1+$C$7)+$C$6)</f>
        <v/>
      </c>
      <c r="E34" s="16">
        <f>IF(20&gt;$C$8,"",D34-C34)</f>
        <v/>
      </c>
    </row>
    <row r="35">
      <c r="A35" s="15">
        <f>IF(21&gt;$C$8,"",21)</f>
        <v/>
      </c>
      <c r="B35" s="16">
        <f>IF(21&gt;$C$8,"",$C$6)</f>
        <v/>
      </c>
      <c r="C35" s="16">
        <f>IF(21&gt;$C$8,"",C34+$C$6)</f>
        <v/>
      </c>
      <c r="D35" s="16">
        <f>IF(21&gt;$C$8,"",D34*(1+$C$7)+$C$6)</f>
        <v/>
      </c>
      <c r="E35" s="16">
        <f>IF(21&gt;$C$8,"",D35-C35)</f>
        <v/>
      </c>
    </row>
    <row r="36">
      <c r="A36" s="15">
        <f>IF(22&gt;$C$8,"",22)</f>
        <v/>
      </c>
      <c r="B36" s="16">
        <f>IF(22&gt;$C$8,"",$C$6)</f>
        <v/>
      </c>
      <c r="C36" s="16">
        <f>IF(22&gt;$C$8,"",C35+$C$6)</f>
        <v/>
      </c>
      <c r="D36" s="16">
        <f>IF(22&gt;$C$8,"",D35*(1+$C$7)+$C$6)</f>
        <v/>
      </c>
      <c r="E36" s="16">
        <f>IF(22&gt;$C$8,"",D36-C36)</f>
        <v/>
      </c>
    </row>
    <row r="37">
      <c r="A37" s="15">
        <f>IF(23&gt;$C$8,"",23)</f>
        <v/>
      </c>
      <c r="B37" s="16">
        <f>IF(23&gt;$C$8,"",$C$6)</f>
        <v/>
      </c>
      <c r="C37" s="16">
        <f>IF(23&gt;$C$8,"",C36+$C$6)</f>
        <v/>
      </c>
      <c r="D37" s="16">
        <f>IF(23&gt;$C$8,"",D36*(1+$C$7)+$C$6)</f>
        <v/>
      </c>
      <c r="E37" s="16">
        <f>IF(23&gt;$C$8,"",D37-C37)</f>
        <v/>
      </c>
    </row>
    <row r="38">
      <c r="A38" s="15">
        <f>IF(24&gt;$C$8,"",24)</f>
        <v/>
      </c>
      <c r="B38" s="16">
        <f>IF(24&gt;$C$8,"",$C$6)</f>
        <v/>
      </c>
      <c r="C38" s="16">
        <f>IF(24&gt;$C$8,"",C37+$C$6)</f>
        <v/>
      </c>
      <c r="D38" s="16">
        <f>IF(24&gt;$C$8,"",D37*(1+$C$7)+$C$6)</f>
        <v/>
      </c>
      <c r="E38" s="16">
        <f>IF(24&gt;$C$8,"",D38-C38)</f>
        <v/>
      </c>
    </row>
    <row r="39">
      <c r="A39" s="15">
        <f>IF(25&gt;$C$8,"",25)</f>
        <v/>
      </c>
      <c r="B39" s="16">
        <f>IF(25&gt;$C$8,"",$C$6)</f>
        <v/>
      </c>
      <c r="C39" s="16">
        <f>IF(25&gt;$C$8,"",C38+$C$6)</f>
        <v/>
      </c>
      <c r="D39" s="16">
        <f>IF(25&gt;$C$8,"",D38*(1+$C$7)+$C$6)</f>
        <v/>
      </c>
      <c r="E39" s="16">
        <f>IF(25&gt;$C$8,"",D39-C39)</f>
        <v/>
      </c>
    </row>
    <row r="40">
      <c r="A40" s="15">
        <f>IF(26&gt;$C$8,"",26)</f>
        <v/>
      </c>
      <c r="B40" s="16">
        <f>IF(26&gt;$C$8,"",$C$6)</f>
        <v/>
      </c>
      <c r="C40" s="16">
        <f>IF(26&gt;$C$8,"",C39+$C$6)</f>
        <v/>
      </c>
      <c r="D40" s="16">
        <f>IF(26&gt;$C$8,"",D39*(1+$C$7)+$C$6)</f>
        <v/>
      </c>
      <c r="E40" s="16">
        <f>IF(26&gt;$C$8,"",D40-C40)</f>
        <v/>
      </c>
    </row>
    <row r="41">
      <c r="A41" s="15">
        <f>IF(27&gt;$C$8,"",27)</f>
        <v/>
      </c>
      <c r="B41" s="16">
        <f>IF(27&gt;$C$8,"",$C$6)</f>
        <v/>
      </c>
      <c r="C41" s="16">
        <f>IF(27&gt;$C$8,"",C40+$C$6)</f>
        <v/>
      </c>
      <c r="D41" s="16">
        <f>IF(27&gt;$C$8,"",D40*(1+$C$7)+$C$6)</f>
        <v/>
      </c>
      <c r="E41" s="16">
        <f>IF(27&gt;$C$8,"",D41-C41)</f>
        <v/>
      </c>
    </row>
    <row r="42">
      <c r="A42" s="15">
        <f>IF(28&gt;$C$8,"",28)</f>
        <v/>
      </c>
      <c r="B42" s="16">
        <f>IF(28&gt;$C$8,"",$C$6)</f>
        <v/>
      </c>
      <c r="C42" s="16">
        <f>IF(28&gt;$C$8,"",C41+$C$6)</f>
        <v/>
      </c>
      <c r="D42" s="16">
        <f>IF(28&gt;$C$8,"",D41*(1+$C$7)+$C$6)</f>
        <v/>
      </c>
      <c r="E42" s="16">
        <f>IF(28&gt;$C$8,"",D42-C42)</f>
        <v/>
      </c>
    </row>
    <row r="43">
      <c r="A43" s="15">
        <f>IF(29&gt;$C$8,"",29)</f>
        <v/>
      </c>
      <c r="B43" s="16">
        <f>IF(29&gt;$C$8,"",$C$6)</f>
        <v/>
      </c>
      <c r="C43" s="16">
        <f>IF(29&gt;$C$8,"",C42+$C$6)</f>
        <v/>
      </c>
      <c r="D43" s="16">
        <f>IF(29&gt;$C$8,"",D42*(1+$C$7)+$C$6)</f>
        <v/>
      </c>
      <c r="E43" s="16">
        <f>IF(29&gt;$C$8,"",D43-C43)</f>
        <v/>
      </c>
    </row>
    <row r="44">
      <c r="A44" s="15">
        <f>IF(30&gt;$C$8,"",30)</f>
        <v/>
      </c>
      <c r="B44" s="16">
        <f>IF(30&gt;$C$8,"",$C$6)</f>
        <v/>
      </c>
      <c r="C44" s="16">
        <f>IF(30&gt;$C$8,"",C43+$C$6)</f>
        <v/>
      </c>
      <c r="D44" s="16">
        <f>IF(30&gt;$C$8,"",D43*(1+$C$7)+$C$6)</f>
        <v/>
      </c>
      <c r="E44" s="16">
        <f>IF(30&gt;$C$8,"",D44-C44)</f>
        <v/>
      </c>
    </row>
    <row r="45">
      <c r="A45" s="15">
        <f>IF(31&gt;$C$8,"",31)</f>
        <v/>
      </c>
      <c r="B45" s="16">
        <f>IF(31&gt;$C$8,"",$C$6)</f>
        <v/>
      </c>
      <c r="C45" s="16">
        <f>IF(31&gt;$C$8,"",C44+$C$6)</f>
        <v/>
      </c>
      <c r="D45" s="16">
        <f>IF(31&gt;$C$8,"",D44*(1+$C$7)+$C$6)</f>
        <v/>
      </c>
      <c r="E45" s="16">
        <f>IF(31&gt;$C$8,"",D45-C45)</f>
        <v/>
      </c>
    </row>
    <row r="46">
      <c r="A46" s="15">
        <f>IF(32&gt;$C$8,"",32)</f>
        <v/>
      </c>
      <c r="B46" s="16">
        <f>IF(32&gt;$C$8,"",$C$6)</f>
        <v/>
      </c>
      <c r="C46" s="16">
        <f>IF(32&gt;$C$8,"",C45+$C$6)</f>
        <v/>
      </c>
      <c r="D46" s="16">
        <f>IF(32&gt;$C$8,"",D45*(1+$C$7)+$C$6)</f>
        <v/>
      </c>
      <c r="E46" s="16">
        <f>IF(32&gt;$C$8,"",D46-C46)</f>
        <v/>
      </c>
    </row>
    <row r="47">
      <c r="A47" s="15">
        <f>IF(33&gt;$C$8,"",33)</f>
        <v/>
      </c>
      <c r="B47" s="16">
        <f>IF(33&gt;$C$8,"",$C$6)</f>
        <v/>
      </c>
      <c r="C47" s="16">
        <f>IF(33&gt;$C$8,"",C46+$C$6)</f>
        <v/>
      </c>
      <c r="D47" s="16">
        <f>IF(33&gt;$C$8,"",D46*(1+$C$7)+$C$6)</f>
        <v/>
      </c>
      <c r="E47" s="16">
        <f>IF(33&gt;$C$8,"",D47-C47)</f>
        <v/>
      </c>
    </row>
    <row r="48">
      <c r="A48" s="15">
        <f>IF(34&gt;$C$8,"",34)</f>
        <v/>
      </c>
      <c r="B48" s="16">
        <f>IF(34&gt;$C$8,"",$C$6)</f>
        <v/>
      </c>
      <c r="C48" s="16">
        <f>IF(34&gt;$C$8,"",C47+$C$6)</f>
        <v/>
      </c>
      <c r="D48" s="16">
        <f>IF(34&gt;$C$8,"",D47*(1+$C$7)+$C$6)</f>
        <v/>
      </c>
      <c r="E48" s="16">
        <f>IF(34&gt;$C$8,"",D48-C48)</f>
        <v/>
      </c>
    </row>
    <row r="49">
      <c r="A49" s="15">
        <f>IF(35&gt;$C$8,"",35)</f>
        <v/>
      </c>
      <c r="B49" s="16">
        <f>IF(35&gt;$C$8,"",$C$6)</f>
        <v/>
      </c>
      <c r="C49" s="16">
        <f>IF(35&gt;$C$8,"",C48+$C$6)</f>
        <v/>
      </c>
      <c r="D49" s="16">
        <f>IF(35&gt;$C$8,"",D48*(1+$C$7)+$C$6)</f>
        <v/>
      </c>
      <c r="E49" s="16">
        <f>IF(35&gt;$C$8,"",D49-C49)</f>
        <v/>
      </c>
    </row>
    <row r="50">
      <c r="A50" s="15">
        <f>IF(36&gt;$C$8,"",36)</f>
        <v/>
      </c>
      <c r="B50" s="16">
        <f>IF(36&gt;$C$8,"",$C$6)</f>
        <v/>
      </c>
      <c r="C50" s="16">
        <f>IF(36&gt;$C$8,"",C49+$C$6)</f>
        <v/>
      </c>
      <c r="D50" s="16">
        <f>IF(36&gt;$C$8,"",D49*(1+$C$7)+$C$6)</f>
        <v/>
      </c>
      <c r="E50" s="16">
        <f>IF(36&gt;$C$8,"",D50-C50)</f>
        <v/>
      </c>
    </row>
    <row r="51">
      <c r="A51" s="15">
        <f>IF(37&gt;$C$8,"",37)</f>
        <v/>
      </c>
      <c r="B51" s="16">
        <f>IF(37&gt;$C$8,"",$C$6)</f>
        <v/>
      </c>
      <c r="C51" s="16">
        <f>IF(37&gt;$C$8,"",C50+$C$6)</f>
        <v/>
      </c>
      <c r="D51" s="16">
        <f>IF(37&gt;$C$8,"",D50*(1+$C$7)+$C$6)</f>
        <v/>
      </c>
      <c r="E51" s="16">
        <f>IF(37&gt;$C$8,"",D51-C51)</f>
        <v/>
      </c>
    </row>
    <row r="52">
      <c r="A52" s="15">
        <f>IF(38&gt;$C$8,"",38)</f>
        <v/>
      </c>
      <c r="B52" s="16">
        <f>IF(38&gt;$C$8,"",$C$6)</f>
        <v/>
      </c>
      <c r="C52" s="16">
        <f>IF(38&gt;$C$8,"",C51+$C$6)</f>
        <v/>
      </c>
      <c r="D52" s="16">
        <f>IF(38&gt;$C$8,"",D51*(1+$C$7)+$C$6)</f>
        <v/>
      </c>
      <c r="E52" s="16">
        <f>IF(38&gt;$C$8,"",D52-C52)</f>
        <v/>
      </c>
    </row>
    <row r="53">
      <c r="A53" s="15">
        <f>IF(39&gt;$C$8,"",39)</f>
        <v/>
      </c>
      <c r="B53" s="16">
        <f>IF(39&gt;$C$8,"",$C$6)</f>
        <v/>
      </c>
      <c r="C53" s="16">
        <f>IF(39&gt;$C$8,"",C52+$C$6)</f>
        <v/>
      </c>
      <c r="D53" s="16">
        <f>IF(39&gt;$C$8,"",D52*(1+$C$7)+$C$6)</f>
        <v/>
      </c>
      <c r="E53" s="16">
        <f>IF(39&gt;$C$8,"",D53-C53)</f>
        <v/>
      </c>
    </row>
    <row r="54">
      <c r="A54" s="15">
        <f>IF(40&gt;$C$8,"",40)</f>
        <v/>
      </c>
      <c r="B54" s="16">
        <f>IF(40&gt;$C$8,"",$C$6)</f>
        <v/>
      </c>
      <c r="C54" s="16">
        <f>IF(40&gt;$C$8,"",C53+$C$6)</f>
        <v/>
      </c>
      <c r="D54" s="16">
        <f>IF(40&gt;$C$8,"",D53*(1+$C$7)+$C$6)</f>
        <v/>
      </c>
      <c r="E54" s="16">
        <f>IF(40&gt;$C$8,"",D54-C54)</f>
        <v/>
      </c>
    </row>
    <row r="55">
      <c r="A55" s="15">
        <f>IF(41&gt;$C$8,"",41)</f>
        <v/>
      </c>
      <c r="B55" s="16">
        <f>IF(41&gt;$C$8,"",$C$6)</f>
        <v/>
      </c>
      <c r="C55" s="16">
        <f>IF(41&gt;$C$8,"",C54+$C$6)</f>
        <v/>
      </c>
      <c r="D55" s="16">
        <f>IF(41&gt;$C$8,"",D54*(1+$C$7)+$C$6)</f>
        <v/>
      </c>
      <c r="E55" s="16">
        <f>IF(41&gt;$C$8,"",D55-C55)</f>
        <v/>
      </c>
    </row>
    <row r="56">
      <c r="A56" s="15">
        <f>IF(42&gt;$C$8,"",42)</f>
        <v/>
      </c>
      <c r="B56" s="16">
        <f>IF(42&gt;$C$8,"",$C$6)</f>
        <v/>
      </c>
      <c r="C56" s="16">
        <f>IF(42&gt;$C$8,"",C55+$C$6)</f>
        <v/>
      </c>
      <c r="D56" s="16">
        <f>IF(42&gt;$C$8,"",D55*(1+$C$7)+$C$6)</f>
        <v/>
      </c>
      <c r="E56" s="16">
        <f>IF(42&gt;$C$8,"",D56-C56)</f>
        <v/>
      </c>
    </row>
    <row r="57">
      <c r="A57" s="15">
        <f>IF(43&gt;$C$8,"",43)</f>
        <v/>
      </c>
      <c r="B57" s="16">
        <f>IF(43&gt;$C$8,"",$C$6)</f>
        <v/>
      </c>
      <c r="C57" s="16">
        <f>IF(43&gt;$C$8,"",C56+$C$6)</f>
        <v/>
      </c>
      <c r="D57" s="16">
        <f>IF(43&gt;$C$8,"",D56*(1+$C$7)+$C$6)</f>
        <v/>
      </c>
      <c r="E57" s="16">
        <f>IF(43&gt;$C$8,"",D57-C57)</f>
        <v/>
      </c>
    </row>
    <row r="58">
      <c r="A58" s="15">
        <f>IF(44&gt;$C$8,"",44)</f>
        <v/>
      </c>
      <c r="B58" s="16">
        <f>IF(44&gt;$C$8,"",$C$6)</f>
        <v/>
      </c>
      <c r="C58" s="16">
        <f>IF(44&gt;$C$8,"",C57+$C$6)</f>
        <v/>
      </c>
      <c r="D58" s="16">
        <f>IF(44&gt;$C$8,"",D57*(1+$C$7)+$C$6)</f>
        <v/>
      </c>
      <c r="E58" s="16">
        <f>IF(44&gt;$C$8,"",D58-C58)</f>
        <v/>
      </c>
    </row>
    <row r="59">
      <c r="A59" s="15">
        <f>IF(45&gt;$C$8,"",45)</f>
        <v/>
      </c>
      <c r="B59" s="16">
        <f>IF(45&gt;$C$8,"",$C$6)</f>
        <v/>
      </c>
      <c r="C59" s="16">
        <f>IF(45&gt;$C$8,"",C58+$C$6)</f>
        <v/>
      </c>
      <c r="D59" s="16">
        <f>IF(45&gt;$C$8,"",D58*(1+$C$7)+$C$6)</f>
        <v/>
      </c>
      <c r="E59" s="16">
        <f>IF(45&gt;$C$8,"",D59-C59)</f>
        <v/>
      </c>
    </row>
    <row r="60">
      <c r="A60" s="15">
        <f>IF(46&gt;$C$8,"",46)</f>
        <v/>
      </c>
      <c r="B60" s="16">
        <f>IF(46&gt;$C$8,"",$C$6)</f>
        <v/>
      </c>
      <c r="C60" s="16">
        <f>IF(46&gt;$C$8,"",C59+$C$6)</f>
        <v/>
      </c>
      <c r="D60" s="16">
        <f>IF(46&gt;$C$8,"",D59*(1+$C$7)+$C$6)</f>
        <v/>
      </c>
      <c r="E60" s="16">
        <f>IF(46&gt;$C$8,"",D60-C60)</f>
        <v/>
      </c>
    </row>
    <row r="61">
      <c r="A61" s="15">
        <f>IF(47&gt;$C$8,"",47)</f>
        <v/>
      </c>
      <c r="B61" s="16">
        <f>IF(47&gt;$C$8,"",$C$6)</f>
        <v/>
      </c>
      <c r="C61" s="16">
        <f>IF(47&gt;$C$8,"",C60+$C$6)</f>
        <v/>
      </c>
      <c r="D61" s="16">
        <f>IF(47&gt;$C$8,"",D60*(1+$C$7)+$C$6)</f>
        <v/>
      </c>
      <c r="E61" s="16">
        <f>IF(47&gt;$C$8,"",D61-C61)</f>
        <v/>
      </c>
    </row>
    <row r="62">
      <c r="A62" s="15">
        <f>IF(48&gt;$C$8,"",48)</f>
        <v/>
      </c>
      <c r="B62" s="16">
        <f>IF(48&gt;$C$8,"",$C$6)</f>
        <v/>
      </c>
      <c r="C62" s="16">
        <f>IF(48&gt;$C$8,"",C61+$C$6)</f>
        <v/>
      </c>
      <c r="D62" s="16">
        <f>IF(48&gt;$C$8,"",D61*(1+$C$7)+$C$6)</f>
        <v/>
      </c>
      <c r="E62" s="16">
        <f>IF(48&gt;$C$8,"",D62-C62)</f>
        <v/>
      </c>
    </row>
    <row r="63">
      <c r="A63" s="15">
        <f>IF(49&gt;$C$8,"",49)</f>
        <v/>
      </c>
      <c r="B63" s="16">
        <f>IF(49&gt;$C$8,"",$C$6)</f>
        <v/>
      </c>
      <c r="C63" s="16">
        <f>IF(49&gt;$C$8,"",C62+$C$6)</f>
        <v/>
      </c>
      <c r="D63" s="16">
        <f>IF(49&gt;$C$8,"",D62*(1+$C$7)+$C$6)</f>
        <v/>
      </c>
      <c r="E63" s="16">
        <f>IF(49&gt;$C$8,"",D63-C63)</f>
        <v/>
      </c>
    </row>
    <row r="64">
      <c r="A64" s="15">
        <f>IF(50&gt;$C$8,"",50)</f>
        <v/>
      </c>
      <c r="B64" s="16">
        <f>IF(50&gt;$C$8,"",$C$6)</f>
        <v/>
      </c>
      <c r="C64" s="16">
        <f>IF(50&gt;$C$8,"",C63+$C$6)</f>
        <v/>
      </c>
      <c r="D64" s="16">
        <f>IF(50&gt;$C$8,"",D63*(1+$C$7)+$C$6)</f>
        <v/>
      </c>
      <c r="E64" s="16">
        <f>IF(50&gt;$C$8,"",D64-C64)</f>
        <v/>
      </c>
    </row>
    <row r="65">
      <c r="A65" s="15">
        <f>IF(51&gt;$C$8,"",51)</f>
        <v/>
      </c>
      <c r="B65" s="16">
        <f>IF(51&gt;$C$8,"",$C$6)</f>
        <v/>
      </c>
      <c r="C65" s="16">
        <f>IF(51&gt;$C$8,"",C64+$C$6)</f>
        <v/>
      </c>
      <c r="D65" s="16">
        <f>IF(51&gt;$C$8,"",D64*(1+$C$7)+$C$6)</f>
        <v/>
      </c>
      <c r="E65" s="16">
        <f>IF(51&gt;$C$8,"",D65-C65)</f>
        <v/>
      </c>
    </row>
    <row r="66">
      <c r="A66" s="15">
        <f>IF(52&gt;$C$8,"",52)</f>
        <v/>
      </c>
      <c r="B66" s="16">
        <f>IF(52&gt;$C$8,"",$C$6)</f>
        <v/>
      </c>
      <c r="C66" s="16">
        <f>IF(52&gt;$C$8,"",C65+$C$6)</f>
        <v/>
      </c>
      <c r="D66" s="16">
        <f>IF(52&gt;$C$8,"",D65*(1+$C$7)+$C$6)</f>
        <v/>
      </c>
      <c r="E66" s="16">
        <f>IF(52&gt;$C$8,"",D66-C66)</f>
        <v/>
      </c>
    </row>
    <row r="67">
      <c r="A67" s="15">
        <f>IF(53&gt;$C$8,"",53)</f>
        <v/>
      </c>
      <c r="B67" s="16">
        <f>IF(53&gt;$C$8,"",$C$6)</f>
        <v/>
      </c>
      <c r="C67" s="16">
        <f>IF(53&gt;$C$8,"",C66+$C$6)</f>
        <v/>
      </c>
      <c r="D67" s="16">
        <f>IF(53&gt;$C$8,"",D66*(1+$C$7)+$C$6)</f>
        <v/>
      </c>
      <c r="E67" s="16">
        <f>IF(53&gt;$C$8,"",D67-C67)</f>
        <v/>
      </c>
    </row>
    <row r="68">
      <c r="A68" s="15">
        <f>IF(54&gt;$C$8,"",54)</f>
        <v/>
      </c>
      <c r="B68" s="16">
        <f>IF(54&gt;$C$8,"",$C$6)</f>
        <v/>
      </c>
      <c r="C68" s="16">
        <f>IF(54&gt;$C$8,"",C67+$C$6)</f>
        <v/>
      </c>
      <c r="D68" s="16">
        <f>IF(54&gt;$C$8,"",D67*(1+$C$7)+$C$6)</f>
        <v/>
      </c>
      <c r="E68" s="16">
        <f>IF(54&gt;$C$8,"",D68-C68)</f>
        <v/>
      </c>
    </row>
    <row r="69">
      <c r="A69" s="15">
        <f>IF(55&gt;$C$8,"",55)</f>
        <v/>
      </c>
      <c r="B69" s="16">
        <f>IF(55&gt;$C$8,"",$C$6)</f>
        <v/>
      </c>
      <c r="C69" s="16">
        <f>IF(55&gt;$C$8,"",C68+$C$6)</f>
        <v/>
      </c>
      <c r="D69" s="16">
        <f>IF(55&gt;$C$8,"",D68*(1+$C$7)+$C$6)</f>
        <v/>
      </c>
      <c r="E69" s="16">
        <f>IF(55&gt;$C$8,"",D69-C69)</f>
        <v/>
      </c>
    </row>
    <row r="70">
      <c r="A70" s="15">
        <f>IF(56&gt;$C$8,"",56)</f>
        <v/>
      </c>
      <c r="B70" s="16">
        <f>IF(56&gt;$C$8,"",$C$6)</f>
        <v/>
      </c>
      <c r="C70" s="16">
        <f>IF(56&gt;$C$8,"",C69+$C$6)</f>
        <v/>
      </c>
      <c r="D70" s="16">
        <f>IF(56&gt;$C$8,"",D69*(1+$C$7)+$C$6)</f>
        <v/>
      </c>
      <c r="E70" s="16">
        <f>IF(56&gt;$C$8,"",D70-C70)</f>
        <v/>
      </c>
    </row>
    <row r="71">
      <c r="A71" s="15">
        <f>IF(57&gt;$C$8,"",57)</f>
        <v/>
      </c>
      <c r="B71" s="16">
        <f>IF(57&gt;$C$8,"",$C$6)</f>
        <v/>
      </c>
      <c r="C71" s="16">
        <f>IF(57&gt;$C$8,"",C70+$C$6)</f>
        <v/>
      </c>
      <c r="D71" s="16">
        <f>IF(57&gt;$C$8,"",D70*(1+$C$7)+$C$6)</f>
        <v/>
      </c>
      <c r="E71" s="16">
        <f>IF(57&gt;$C$8,"",D71-C71)</f>
        <v/>
      </c>
    </row>
    <row r="72">
      <c r="A72" s="15">
        <f>IF(58&gt;$C$8,"",58)</f>
        <v/>
      </c>
      <c r="B72" s="16">
        <f>IF(58&gt;$C$8,"",$C$6)</f>
        <v/>
      </c>
      <c r="C72" s="16">
        <f>IF(58&gt;$C$8,"",C71+$C$6)</f>
        <v/>
      </c>
      <c r="D72" s="16">
        <f>IF(58&gt;$C$8,"",D71*(1+$C$7)+$C$6)</f>
        <v/>
      </c>
      <c r="E72" s="16">
        <f>IF(58&gt;$C$8,"",D72-C72)</f>
        <v/>
      </c>
    </row>
    <row r="73">
      <c r="A73" s="15">
        <f>IF(59&gt;$C$8,"",59)</f>
        <v/>
      </c>
      <c r="B73" s="16">
        <f>IF(59&gt;$C$8,"",$C$6)</f>
        <v/>
      </c>
      <c r="C73" s="16">
        <f>IF(59&gt;$C$8,"",C72+$C$6)</f>
        <v/>
      </c>
      <c r="D73" s="16">
        <f>IF(59&gt;$C$8,"",D72*(1+$C$7)+$C$6)</f>
        <v/>
      </c>
      <c r="E73" s="16">
        <f>IF(59&gt;$C$8,"",D73-C73)</f>
        <v/>
      </c>
    </row>
    <row r="74">
      <c r="A74" s="15">
        <f>IF(60&gt;$C$8,"",60)</f>
        <v/>
      </c>
      <c r="B74" s="16">
        <f>IF(60&gt;$C$8,"",$C$6)</f>
        <v/>
      </c>
      <c r="C74" s="16">
        <f>IF(60&gt;$C$8,"",C73+$C$6)</f>
        <v/>
      </c>
      <c r="D74" s="16">
        <f>IF(60&gt;$C$8,"",D73*(1+$C$7)+$C$6)</f>
        <v/>
      </c>
      <c r="E74" s="16">
        <f>IF(60&gt;$C$8,"",D74-C74)</f>
        <v/>
      </c>
    </row>
    <row r="75">
      <c r="A75" s="15">
        <f>IF(61&gt;$C$8,"",61)</f>
        <v/>
      </c>
      <c r="B75" s="16">
        <f>IF(61&gt;$C$8,"",$C$6)</f>
        <v/>
      </c>
      <c r="C75" s="16">
        <f>IF(61&gt;$C$8,"",C74+$C$6)</f>
        <v/>
      </c>
      <c r="D75" s="16">
        <f>IF(61&gt;$C$8,"",D74*(1+$C$7)+$C$6)</f>
        <v/>
      </c>
      <c r="E75" s="16">
        <f>IF(61&gt;$C$8,"",D75-C75)</f>
        <v/>
      </c>
    </row>
    <row r="76">
      <c r="A76" s="15">
        <f>IF(62&gt;$C$8,"",62)</f>
        <v/>
      </c>
      <c r="B76" s="16">
        <f>IF(62&gt;$C$8,"",$C$6)</f>
        <v/>
      </c>
      <c r="C76" s="16">
        <f>IF(62&gt;$C$8,"",C75+$C$6)</f>
        <v/>
      </c>
      <c r="D76" s="16">
        <f>IF(62&gt;$C$8,"",D75*(1+$C$7)+$C$6)</f>
        <v/>
      </c>
      <c r="E76" s="16">
        <f>IF(62&gt;$C$8,"",D76-C76)</f>
        <v/>
      </c>
    </row>
    <row r="77">
      <c r="A77" s="15">
        <f>IF(63&gt;$C$8,"",63)</f>
        <v/>
      </c>
      <c r="B77" s="16">
        <f>IF(63&gt;$C$8,"",$C$6)</f>
        <v/>
      </c>
      <c r="C77" s="16">
        <f>IF(63&gt;$C$8,"",C76+$C$6)</f>
        <v/>
      </c>
      <c r="D77" s="16">
        <f>IF(63&gt;$C$8,"",D76*(1+$C$7)+$C$6)</f>
        <v/>
      </c>
      <c r="E77" s="16">
        <f>IF(63&gt;$C$8,"",D77-C77)</f>
        <v/>
      </c>
    </row>
    <row r="78">
      <c r="A78" s="15">
        <f>IF(64&gt;$C$8,"",64)</f>
        <v/>
      </c>
      <c r="B78" s="16">
        <f>IF(64&gt;$C$8,"",$C$6)</f>
        <v/>
      </c>
      <c r="C78" s="16">
        <f>IF(64&gt;$C$8,"",C77+$C$6)</f>
        <v/>
      </c>
      <c r="D78" s="16">
        <f>IF(64&gt;$C$8,"",D77*(1+$C$7)+$C$6)</f>
        <v/>
      </c>
      <c r="E78" s="16">
        <f>IF(64&gt;$C$8,"",D78-C78)</f>
        <v/>
      </c>
    </row>
    <row r="79">
      <c r="A79" s="15">
        <f>IF(65&gt;$C$8,"",65)</f>
        <v/>
      </c>
      <c r="B79" s="16">
        <f>IF(65&gt;$C$8,"",$C$6)</f>
        <v/>
      </c>
      <c r="C79" s="16">
        <f>IF(65&gt;$C$8,"",C78+$C$6)</f>
        <v/>
      </c>
      <c r="D79" s="16">
        <f>IF(65&gt;$C$8,"",D78*(1+$C$7)+$C$6)</f>
        <v/>
      </c>
      <c r="E79" s="16">
        <f>IF(65&gt;$C$8,"",D79-C79)</f>
        <v/>
      </c>
    </row>
    <row r="80">
      <c r="A80" s="15">
        <f>IF(66&gt;$C$8,"",66)</f>
        <v/>
      </c>
      <c r="B80" s="16">
        <f>IF(66&gt;$C$8,"",$C$6)</f>
        <v/>
      </c>
      <c r="C80" s="16">
        <f>IF(66&gt;$C$8,"",C79+$C$6)</f>
        <v/>
      </c>
      <c r="D80" s="16">
        <f>IF(66&gt;$C$8,"",D79*(1+$C$7)+$C$6)</f>
        <v/>
      </c>
      <c r="E80" s="16">
        <f>IF(66&gt;$C$8,"",D80-C80)</f>
        <v/>
      </c>
    </row>
    <row r="81">
      <c r="A81" s="15">
        <f>IF(67&gt;$C$8,"",67)</f>
        <v/>
      </c>
      <c r="B81" s="16">
        <f>IF(67&gt;$C$8,"",$C$6)</f>
        <v/>
      </c>
      <c r="C81" s="16">
        <f>IF(67&gt;$C$8,"",C80+$C$6)</f>
        <v/>
      </c>
      <c r="D81" s="16">
        <f>IF(67&gt;$C$8,"",D80*(1+$C$7)+$C$6)</f>
        <v/>
      </c>
      <c r="E81" s="16">
        <f>IF(67&gt;$C$8,"",D81-C81)</f>
        <v/>
      </c>
    </row>
    <row r="82">
      <c r="A82" s="15">
        <f>IF(68&gt;$C$8,"",68)</f>
        <v/>
      </c>
      <c r="B82" s="16">
        <f>IF(68&gt;$C$8,"",$C$6)</f>
        <v/>
      </c>
      <c r="C82" s="16">
        <f>IF(68&gt;$C$8,"",C81+$C$6)</f>
        <v/>
      </c>
      <c r="D82" s="16">
        <f>IF(68&gt;$C$8,"",D81*(1+$C$7)+$C$6)</f>
        <v/>
      </c>
      <c r="E82" s="16">
        <f>IF(68&gt;$C$8,"",D82-C82)</f>
        <v/>
      </c>
    </row>
    <row r="83">
      <c r="A83" s="15">
        <f>IF(69&gt;$C$8,"",69)</f>
        <v/>
      </c>
      <c r="B83" s="16">
        <f>IF(69&gt;$C$8,"",$C$6)</f>
        <v/>
      </c>
      <c r="C83" s="16">
        <f>IF(69&gt;$C$8,"",C82+$C$6)</f>
        <v/>
      </c>
      <c r="D83" s="16">
        <f>IF(69&gt;$C$8,"",D82*(1+$C$7)+$C$6)</f>
        <v/>
      </c>
      <c r="E83" s="16">
        <f>IF(69&gt;$C$8,"",D83-C83)</f>
        <v/>
      </c>
    </row>
    <row r="84">
      <c r="A84" s="15">
        <f>IF(70&gt;$C$8,"",70)</f>
        <v/>
      </c>
      <c r="B84" s="16">
        <f>IF(70&gt;$C$8,"",$C$6)</f>
        <v/>
      </c>
      <c r="C84" s="16">
        <f>IF(70&gt;$C$8,"",C83+$C$6)</f>
        <v/>
      </c>
      <c r="D84" s="16">
        <f>IF(70&gt;$C$8,"",D83*(1+$C$7)+$C$6)</f>
        <v/>
      </c>
      <c r="E84" s="16">
        <f>IF(70&gt;$C$8,"",D84-C84)</f>
        <v/>
      </c>
    </row>
    <row r="85">
      <c r="A85" s="15">
        <f>IF(71&gt;$C$8,"",71)</f>
        <v/>
      </c>
      <c r="B85" s="16">
        <f>IF(71&gt;$C$8,"",$C$6)</f>
        <v/>
      </c>
      <c r="C85" s="16">
        <f>IF(71&gt;$C$8,"",C84+$C$6)</f>
        <v/>
      </c>
      <c r="D85" s="16">
        <f>IF(71&gt;$C$8,"",D84*(1+$C$7)+$C$6)</f>
        <v/>
      </c>
      <c r="E85" s="16">
        <f>IF(71&gt;$C$8,"",D85-C85)</f>
        <v/>
      </c>
    </row>
    <row r="86">
      <c r="A86" s="15">
        <f>IF(72&gt;$C$8,"",72)</f>
        <v/>
      </c>
      <c r="B86" s="16">
        <f>IF(72&gt;$C$8,"",$C$6)</f>
        <v/>
      </c>
      <c r="C86" s="16">
        <f>IF(72&gt;$C$8,"",C85+$C$6)</f>
        <v/>
      </c>
      <c r="D86" s="16">
        <f>IF(72&gt;$C$8,"",D85*(1+$C$7)+$C$6)</f>
        <v/>
      </c>
      <c r="E86" s="16">
        <f>IF(72&gt;$C$8,"",D86-C86)</f>
        <v/>
      </c>
    </row>
    <row r="87">
      <c r="A87" s="15">
        <f>IF(73&gt;$C$8,"",73)</f>
        <v/>
      </c>
      <c r="B87" s="16">
        <f>IF(73&gt;$C$8,"",$C$6)</f>
        <v/>
      </c>
      <c r="C87" s="16">
        <f>IF(73&gt;$C$8,"",C86+$C$6)</f>
        <v/>
      </c>
      <c r="D87" s="16">
        <f>IF(73&gt;$C$8,"",D86*(1+$C$7)+$C$6)</f>
        <v/>
      </c>
      <c r="E87" s="16">
        <f>IF(73&gt;$C$8,"",D87-C87)</f>
        <v/>
      </c>
    </row>
    <row r="88">
      <c r="A88" s="15">
        <f>IF(74&gt;$C$8,"",74)</f>
        <v/>
      </c>
      <c r="B88" s="16">
        <f>IF(74&gt;$C$8,"",$C$6)</f>
        <v/>
      </c>
      <c r="C88" s="16">
        <f>IF(74&gt;$C$8,"",C87+$C$6)</f>
        <v/>
      </c>
      <c r="D88" s="16">
        <f>IF(74&gt;$C$8,"",D87*(1+$C$7)+$C$6)</f>
        <v/>
      </c>
      <c r="E88" s="16">
        <f>IF(74&gt;$C$8,"",D88-C88)</f>
        <v/>
      </c>
    </row>
    <row r="89">
      <c r="A89" s="15">
        <f>IF(75&gt;$C$8,"",75)</f>
        <v/>
      </c>
      <c r="B89" s="16">
        <f>IF(75&gt;$C$8,"",$C$6)</f>
        <v/>
      </c>
      <c r="C89" s="16">
        <f>IF(75&gt;$C$8,"",C88+$C$6)</f>
        <v/>
      </c>
      <c r="D89" s="16">
        <f>IF(75&gt;$C$8,"",D88*(1+$C$7)+$C$6)</f>
        <v/>
      </c>
      <c r="E89" s="16">
        <f>IF(75&gt;$C$8,"",D89-C89)</f>
        <v/>
      </c>
    </row>
    <row r="90">
      <c r="A90" s="15">
        <f>IF(76&gt;$C$8,"",76)</f>
        <v/>
      </c>
      <c r="B90" s="16">
        <f>IF(76&gt;$C$8,"",$C$6)</f>
        <v/>
      </c>
      <c r="C90" s="16">
        <f>IF(76&gt;$C$8,"",C89+$C$6)</f>
        <v/>
      </c>
      <c r="D90" s="16">
        <f>IF(76&gt;$C$8,"",D89*(1+$C$7)+$C$6)</f>
        <v/>
      </c>
      <c r="E90" s="16">
        <f>IF(76&gt;$C$8,"",D90-C90)</f>
        <v/>
      </c>
    </row>
    <row r="91">
      <c r="A91" s="15">
        <f>IF(77&gt;$C$8,"",77)</f>
        <v/>
      </c>
      <c r="B91" s="16">
        <f>IF(77&gt;$C$8,"",$C$6)</f>
        <v/>
      </c>
      <c r="C91" s="16">
        <f>IF(77&gt;$C$8,"",C90+$C$6)</f>
        <v/>
      </c>
      <c r="D91" s="16">
        <f>IF(77&gt;$C$8,"",D90*(1+$C$7)+$C$6)</f>
        <v/>
      </c>
      <c r="E91" s="16">
        <f>IF(77&gt;$C$8,"",D91-C91)</f>
        <v/>
      </c>
    </row>
    <row r="92">
      <c r="A92" s="15">
        <f>IF(78&gt;$C$8,"",78)</f>
        <v/>
      </c>
      <c r="B92" s="16">
        <f>IF(78&gt;$C$8,"",$C$6)</f>
        <v/>
      </c>
      <c r="C92" s="16">
        <f>IF(78&gt;$C$8,"",C91+$C$6)</f>
        <v/>
      </c>
      <c r="D92" s="16">
        <f>IF(78&gt;$C$8,"",D91*(1+$C$7)+$C$6)</f>
        <v/>
      </c>
      <c r="E92" s="16">
        <f>IF(78&gt;$C$8,"",D92-C92)</f>
        <v/>
      </c>
    </row>
    <row r="93">
      <c r="A93" s="15">
        <f>IF(79&gt;$C$8,"",79)</f>
        <v/>
      </c>
      <c r="B93" s="16">
        <f>IF(79&gt;$C$8,"",$C$6)</f>
        <v/>
      </c>
      <c r="C93" s="16">
        <f>IF(79&gt;$C$8,"",C92+$C$6)</f>
        <v/>
      </c>
      <c r="D93" s="16">
        <f>IF(79&gt;$C$8,"",D92*(1+$C$7)+$C$6)</f>
        <v/>
      </c>
      <c r="E93" s="16">
        <f>IF(79&gt;$C$8,"",D93-C93)</f>
        <v/>
      </c>
    </row>
    <row r="94">
      <c r="A94" s="15">
        <f>IF(80&gt;$C$8,"",80)</f>
        <v/>
      </c>
      <c r="B94" s="16">
        <f>IF(80&gt;$C$8,"",$C$6)</f>
        <v/>
      </c>
      <c r="C94" s="16">
        <f>IF(80&gt;$C$8,"",C93+$C$6)</f>
        <v/>
      </c>
      <c r="D94" s="16">
        <f>IF(80&gt;$C$8,"",D93*(1+$C$7)+$C$6)</f>
        <v/>
      </c>
      <c r="E94" s="16">
        <f>IF(80&gt;$C$8,"",D94-C94)</f>
        <v/>
      </c>
    </row>
    <row r="95">
      <c r="A95" s="15">
        <f>IF(81&gt;$C$8,"",81)</f>
        <v/>
      </c>
      <c r="B95" s="16">
        <f>IF(81&gt;$C$8,"",$C$6)</f>
        <v/>
      </c>
      <c r="C95" s="16">
        <f>IF(81&gt;$C$8,"",C94+$C$6)</f>
        <v/>
      </c>
      <c r="D95" s="16">
        <f>IF(81&gt;$C$8,"",D94*(1+$C$7)+$C$6)</f>
        <v/>
      </c>
      <c r="E95" s="16">
        <f>IF(81&gt;$C$8,"",D95-C95)</f>
        <v/>
      </c>
    </row>
    <row r="96">
      <c r="A96" s="15">
        <f>IF(82&gt;$C$8,"",82)</f>
        <v/>
      </c>
      <c r="B96" s="16">
        <f>IF(82&gt;$C$8,"",$C$6)</f>
        <v/>
      </c>
      <c r="C96" s="16">
        <f>IF(82&gt;$C$8,"",C95+$C$6)</f>
        <v/>
      </c>
      <c r="D96" s="16">
        <f>IF(82&gt;$C$8,"",D95*(1+$C$7)+$C$6)</f>
        <v/>
      </c>
      <c r="E96" s="16">
        <f>IF(82&gt;$C$8,"",D96-C96)</f>
        <v/>
      </c>
    </row>
    <row r="97">
      <c r="A97" s="15">
        <f>IF(83&gt;$C$8,"",83)</f>
        <v/>
      </c>
      <c r="B97" s="16">
        <f>IF(83&gt;$C$8,"",$C$6)</f>
        <v/>
      </c>
      <c r="C97" s="16">
        <f>IF(83&gt;$C$8,"",C96+$C$6)</f>
        <v/>
      </c>
      <c r="D97" s="16">
        <f>IF(83&gt;$C$8,"",D96*(1+$C$7)+$C$6)</f>
        <v/>
      </c>
      <c r="E97" s="16">
        <f>IF(83&gt;$C$8,"",D97-C97)</f>
        <v/>
      </c>
    </row>
    <row r="98">
      <c r="A98" s="15">
        <f>IF(84&gt;$C$8,"",84)</f>
        <v/>
      </c>
      <c r="B98" s="16">
        <f>IF(84&gt;$C$8,"",$C$6)</f>
        <v/>
      </c>
      <c r="C98" s="16">
        <f>IF(84&gt;$C$8,"",C97+$C$6)</f>
        <v/>
      </c>
      <c r="D98" s="16">
        <f>IF(84&gt;$C$8,"",D97*(1+$C$7)+$C$6)</f>
        <v/>
      </c>
      <c r="E98" s="16">
        <f>IF(84&gt;$C$8,"",D98-C98)</f>
        <v/>
      </c>
    </row>
    <row r="99">
      <c r="A99" s="15">
        <f>IF(85&gt;$C$8,"",85)</f>
        <v/>
      </c>
      <c r="B99" s="16">
        <f>IF(85&gt;$C$8,"",$C$6)</f>
        <v/>
      </c>
      <c r="C99" s="16">
        <f>IF(85&gt;$C$8,"",C98+$C$6)</f>
        <v/>
      </c>
      <c r="D99" s="16">
        <f>IF(85&gt;$C$8,"",D98*(1+$C$7)+$C$6)</f>
        <v/>
      </c>
      <c r="E99" s="16">
        <f>IF(85&gt;$C$8,"",D99-C99)</f>
        <v/>
      </c>
    </row>
    <row r="100">
      <c r="A100" s="15">
        <f>IF(86&gt;$C$8,"",86)</f>
        <v/>
      </c>
      <c r="B100" s="16">
        <f>IF(86&gt;$C$8,"",$C$6)</f>
        <v/>
      </c>
      <c r="C100" s="16">
        <f>IF(86&gt;$C$8,"",C99+$C$6)</f>
        <v/>
      </c>
      <c r="D100" s="16">
        <f>IF(86&gt;$C$8,"",D99*(1+$C$7)+$C$6)</f>
        <v/>
      </c>
      <c r="E100" s="16">
        <f>IF(86&gt;$C$8,"",D100-C100)</f>
        <v/>
      </c>
    </row>
    <row r="101">
      <c r="A101" s="15">
        <f>IF(87&gt;$C$8,"",87)</f>
        <v/>
      </c>
      <c r="B101" s="16">
        <f>IF(87&gt;$C$8,"",$C$6)</f>
        <v/>
      </c>
      <c r="C101" s="16">
        <f>IF(87&gt;$C$8,"",C100+$C$6)</f>
        <v/>
      </c>
      <c r="D101" s="16">
        <f>IF(87&gt;$C$8,"",D100*(1+$C$7)+$C$6)</f>
        <v/>
      </c>
      <c r="E101" s="16">
        <f>IF(87&gt;$C$8,"",D101-C101)</f>
        <v/>
      </c>
    </row>
    <row r="102">
      <c r="A102" s="15">
        <f>IF(88&gt;$C$8,"",88)</f>
        <v/>
      </c>
      <c r="B102" s="16">
        <f>IF(88&gt;$C$8,"",$C$6)</f>
        <v/>
      </c>
      <c r="C102" s="16">
        <f>IF(88&gt;$C$8,"",C101+$C$6)</f>
        <v/>
      </c>
      <c r="D102" s="16">
        <f>IF(88&gt;$C$8,"",D101*(1+$C$7)+$C$6)</f>
        <v/>
      </c>
      <c r="E102" s="16">
        <f>IF(88&gt;$C$8,"",D102-C102)</f>
        <v/>
      </c>
    </row>
    <row r="103">
      <c r="A103" s="15">
        <f>IF(89&gt;$C$8,"",89)</f>
        <v/>
      </c>
      <c r="B103" s="16">
        <f>IF(89&gt;$C$8,"",$C$6)</f>
        <v/>
      </c>
      <c r="C103" s="16">
        <f>IF(89&gt;$C$8,"",C102+$C$6)</f>
        <v/>
      </c>
      <c r="D103" s="16">
        <f>IF(89&gt;$C$8,"",D102*(1+$C$7)+$C$6)</f>
        <v/>
      </c>
      <c r="E103" s="16">
        <f>IF(89&gt;$C$8,"",D103-C103)</f>
        <v/>
      </c>
    </row>
    <row r="104">
      <c r="A104" s="15">
        <f>IF(90&gt;$C$8,"",90)</f>
        <v/>
      </c>
      <c r="B104" s="16">
        <f>IF(90&gt;$C$8,"",$C$6)</f>
        <v/>
      </c>
      <c r="C104" s="16">
        <f>IF(90&gt;$C$8,"",C103+$C$6)</f>
        <v/>
      </c>
      <c r="D104" s="16">
        <f>IF(90&gt;$C$8,"",D103*(1+$C$7)+$C$6)</f>
        <v/>
      </c>
      <c r="E104" s="16">
        <f>IF(90&gt;$C$8,"",D104-C104)</f>
        <v/>
      </c>
    </row>
    <row r="105">
      <c r="A105" s="15">
        <f>IF(91&gt;$C$8,"",91)</f>
        <v/>
      </c>
      <c r="B105" s="16">
        <f>IF(91&gt;$C$8,"",$C$6)</f>
        <v/>
      </c>
      <c r="C105" s="16">
        <f>IF(91&gt;$C$8,"",C104+$C$6)</f>
        <v/>
      </c>
      <c r="D105" s="16">
        <f>IF(91&gt;$C$8,"",D104*(1+$C$7)+$C$6)</f>
        <v/>
      </c>
      <c r="E105" s="16">
        <f>IF(91&gt;$C$8,"",D105-C105)</f>
        <v/>
      </c>
    </row>
    <row r="106">
      <c r="A106" s="15">
        <f>IF(92&gt;$C$8,"",92)</f>
        <v/>
      </c>
      <c r="B106" s="16">
        <f>IF(92&gt;$C$8,"",$C$6)</f>
        <v/>
      </c>
      <c r="C106" s="16">
        <f>IF(92&gt;$C$8,"",C105+$C$6)</f>
        <v/>
      </c>
      <c r="D106" s="16">
        <f>IF(92&gt;$C$8,"",D105*(1+$C$7)+$C$6)</f>
        <v/>
      </c>
      <c r="E106" s="16">
        <f>IF(92&gt;$C$8,"",D106-C106)</f>
        <v/>
      </c>
    </row>
    <row r="107">
      <c r="A107" s="15">
        <f>IF(93&gt;$C$8,"",93)</f>
        <v/>
      </c>
      <c r="B107" s="16">
        <f>IF(93&gt;$C$8,"",$C$6)</f>
        <v/>
      </c>
      <c r="C107" s="16">
        <f>IF(93&gt;$C$8,"",C106+$C$6)</f>
        <v/>
      </c>
      <c r="D107" s="16">
        <f>IF(93&gt;$C$8,"",D106*(1+$C$7)+$C$6)</f>
        <v/>
      </c>
      <c r="E107" s="16">
        <f>IF(93&gt;$C$8,"",D107-C107)</f>
        <v/>
      </c>
    </row>
    <row r="108">
      <c r="A108" s="15">
        <f>IF(94&gt;$C$8,"",94)</f>
        <v/>
      </c>
      <c r="B108" s="16">
        <f>IF(94&gt;$C$8,"",$C$6)</f>
        <v/>
      </c>
      <c r="C108" s="16">
        <f>IF(94&gt;$C$8,"",C107+$C$6)</f>
        <v/>
      </c>
      <c r="D108" s="16">
        <f>IF(94&gt;$C$8,"",D107*(1+$C$7)+$C$6)</f>
        <v/>
      </c>
      <c r="E108" s="16">
        <f>IF(94&gt;$C$8,"",D108-C108)</f>
        <v/>
      </c>
    </row>
    <row r="109">
      <c r="A109" s="15">
        <f>IF(95&gt;$C$8,"",95)</f>
        <v/>
      </c>
      <c r="B109" s="16">
        <f>IF(95&gt;$C$8,"",$C$6)</f>
        <v/>
      </c>
      <c r="C109" s="16">
        <f>IF(95&gt;$C$8,"",C108+$C$6)</f>
        <v/>
      </c>
      <c r="D109" s="16">
        <f>IF(95&gt;$C$8,"",D108*(1+$C$7)+$C$6)</f>
        <v/>
      </c>
      <c r="E109" s="16">
        <f>IF(95&gt;$C$8,"",D109-C109)</f>
        <v/>
      </c>
    </row>
    <row r="110">
      <c r="A110" s="15">
        <f>IF(96&gt;$C$8,"",96)</f>
        <v/>
      </c>
      <c r="B110" s="16">
        <f>IF(96&gt;$C$8,"",$C$6)</f>
        <v/>
      </c>
      <c r="C110" s="16">
        <f>IF(96&gt;$C$8,"",C109+$C$6)</f>
        <v/>
      </c>
      <c r="D110" s="16">
        <f>IF(96&gt;$C$8,"",D109*(1+$C$7)+$C$6)</f>
        <v/>
      </c>
      <c r="E110" s="16">
        <f>IF(96&gt;$C$8,"",D110-C110)</f>
        <v/>
      </c>
    </row>
    <row r="111">
      <c r="A111" s="15">
        <f>IF(97&gt;$C$8,"",97)</f>
        <v/>
      </c>
      <c r="B111" s="16">
        <f>IF(97&gt;$C$8,"",$C$6)</f>
        <v/>
      </c>
      <c r="C111" s="16">
        <f>IF(97&gt;$C$8,"",C110+$C$6)</f>
        <v/>
      </c>
      <c r="D111" s="16">
        <f>IF(97&gt;$C$8,"",D110*(1+$C$7)+$C$6)</f>
        <v/>
      </c>
      <c r="E111" s="16">
        <f>IF(97&gt;$C$8,"",D111-C111)</f>
        <v/>
      </c>
    </row>
    <row r="112">
      <c r="A112" s="15">
        <f>IF(98&gt;$C$8,"",98)</f>
        <v/>
      </c>
      <c r="B112" s="16">
        <f>IF(98&gt;$C$8,"",$C$6)</f>
        <v/>
      </c>
      <c r="C112" s="16">
        <f>IF(98&gt;$C$8,"",C111+$C$6)</f>
        <v/>
      </c>
      <c r="D112" s="16">
        <f>IF(98&gt;$C$8,"",D111*(1+$C$7)+$C$6)</f>
        <v/>
      </c>
      <c r="E112" s="16">
        <f>IF(98&gt;$C$8,"",D112-C112)</f>
        <v/>
      </c>
    </row>
    <row r="113">
      <c r="A113" s="15">
        <f>IF(99&gt;$C$8,"",99)</f>
        <v/>
      </c>
      <c r="B113" s="16">
        <f>IF(99&gt;$C$8,"",$C$6)</f>
        <v/>
      </c>
      <c r="C113" s="16">
        <f>IF(99&gt;$C$8,"",C112+$C$6)</f>
        <v/>
      </c>
      <c r="D113" s="16">
        <f>IF(99&gt;$C$8,"",D112*(1+$C$7)+$C$6)</f>
        <v/>
      </c>
      <c r="E113" s="16">
        <f>IF(99&gt;$C$8,"",D113-C113)</f>
        <v/>
      </c>
    </row>
    <row r="114">
      <c r="A114" s="15">
        <f>IF(100&gt;$C$8,"",100)</f>
        <v/>
      </c>
      <c r="B114" s="16">
        <f>IF(100&gt;$C$8,"",$C$6)</f>
        <v/>
      </c>
      <c r="C114" s="16">
        <f>IF(100&gt;$C$8,"",C113+$C$6)</f>
        <v/>
      </c>
      <c r="D114" s="16">
        <f>IF(100&gt;$C$8,"",D113*(1+$C$7)+$C$6)</f>
        <v/>
      </c>
      <c r="E114" s="16">
        <f>IF(100&gt;$C$8,"",D114-C114)</f>
        <v/>
      </c>
    </row>
    <row r="115">
      <c r="A115" s="15">
        <f>IF(101&gt;$C$8,"",101)</f>
        <v/>
      </c>
      <c r="B115" s="16">
        <f>IF(101&gt;$C$8,"",$C$6)</f>
        <v/>
      </c>
      <c r="C115" s="16">
        <f>IF(101&gt;$C$8,"",C114+$C$6)</f>
        <v/>
      </c>
      <c r="D115" s="16">
        <f>IF(101&gt;$C$8,"",D114*(1+$C$7)+$C$6)</f>
        <v/>
      </c>
      <c r="E115" s="16">
        <f>IF(101&gt;$C$8,"",D115-C115)</f>
        <v/>
      </c>
    </row>
    <row r="116">
      <c r="A116" s="15">
        <f>IF(102&gt;$C$8,"",102)</f>
        <v/>
      </c>
      <c r="B116" s="16">
        <f>IF(102&gt;$C$8,"",$C$6)</f>
        <v/>
      </c>
      <c r="C116" s="16">
        <f>IF(102&gt;$C$8,"",C115+$C$6)</f>
        <v/>
      </c>
      <c r="D116" s="16">
        <f>IF(102&gt;$C$8,"",D115*(1+$C$7)+$C$6)</f>
        <v/>
      </c>
      <c r="E116" s="16">
        <f>IF(102&gt;$C$8,"",D116-C116)</f>
        <v/>
      </c>
    </row>
    <row r="117">
      <c r="A117" s="15">
        <f>IF(103&gt;$C$8,"",103)</f>
        <v/>
      </c>
      <c r="B117" s="16">
        <f>IF(103&gt;$C$8,"",$C$6)</f>
        <v/>
      </c>
      <c r="C117" s="16">
        <f>IF(103&gt;$C$8,"",C116+$C$6)</f>
        <v/>
      </c>
      <c r="D117" s="16">
        <f>IF(103&gt;$C$8,"",D116*(1+$C$7)+$C$6)</f>
        <v/>
      </c>
      <c r="E117" s="16">
        <f>IF(103&gt;$C$8,"",D117-C117)</f>
        <v/>
      </c>
    </row>
    <row r="118">
      <c r="A118" s="15">
        <f>IF(104&gt;$C$8,"",104)</f>
        <v/>
      </c>
      <c r="B118" s="16">
        <f>IF(104&gt;$C$8,"",$C$6)</f>
        <v/>
      </c>
      <c r="C118" s="16">
        <f>IF(104&gt;$C$8,"",C117+$C$6)</f>
        <v/>
      </c>
      <c r="D118" s="16">
        <f>IF(104&gt;$C$8,"",D117*(1+$C$7)+$C$6)</f>
        <v/>
      </c>
      <c r="E118" s="16">
        <f>IF(104&gt;$C$8,"",D118-C118)</f>
        <v/>
      </c>
    </row>
    <row r="119">
      <c r="A119" s="15">
        <f>IF(105&gt;$C$8,"",105)</f>
        <v/>
      </c>
      <c r="B119" s="16">
        <f>IF(105&gt;$C$8,"",$C$6)</f>
        <v/>
      </c>
      <c r="C119" s="16">
        <f>IF(105&gt;$C$8,"",C118+$C$6)</f>
        <v/>
      </c>
      <c r="D119" s="16">
        <f>IF(105&gt;$C$8,"",D118*(1+$C$7)+$C$6)</f>
        <v/>
      </c>
      <c r="E119" s="16">
        <f>IF(105&gt;$C$8,"",D119-C119)</f>
        <v/>
      </c>
    </row>
    <row r="120">
      <c r="A120" s="15">
        <f>IF(106&gt;$C$8,"",106)</f>
        <v/>
      </c>
      <c r="B120" s="16">
        <f>IF(106&gt;$C$8,"",$C$6)</f>
        <v/>
      </c>
      <c r="C120" s="16">
        <f>IF(106&gt;$C$8,"",C119+$C$6)</f>
        <v/>
      </c>
      <c r="D120" s="16">
        <f>IF(106&gt;$C$8,"",D119*(1+$C$7)+$C$6)</f>
        <v/>
      </c>
      <c r="E120" s="16">
        <f>IF(106&gt;$C$8,"",D120-C120)</f>
        <v/>
      </c>
    </row>
    <row r="121">
      <c r="A121" s="15">
        <f>IF(107&gt;$C$8,"",107)</f>
        <v/>
      </c>
      <c r="B121" s="16">
        <f>IF(107&gt;$C$8,"",$C$6)</f>
        <v/>
      </c>
      <c r="C121" s="16">
        <f>IF(107&gt;$C$8,"",C120+$C$6)</f>
        <v/>
      </c>
      <c r="D121" s="16">
        <f>IF(107&gt;$C$8,"",D120*(1+$C$7)+$C$6)</f>
        <v/>
      </c>
      <c r="E121" s="16">
        <f>IF(107&gt;$C$8,"",D121-C121)</f>
        <v/>
      </c>
    </row>
    <row r="122">
      <c r="A122" s="15">
        <f>IF(108&gt;$C$8,"",108)</f>
        <v/>
      </c>
      <c r="B122" s="16">
        <f>IF(108&gt;$C$8,"",$C$6)</f>
        <v/>
      </c>
      <c r="C122" s="16">
        <f>IF(108&gt;$C$8,"",C121+$C$6)</f>
        <v/>
      </c>
      <c r="D122" s="16">
        <f>IF(108&gt;$C$8,"",D121*(1+$C$7)+$C$6)</f>
        <v/>
      </c>
      <c r="E122" s="16">
        <f>IF(108&gt;$C$8,"",D122-C122)</f>
        <v/>
      </c>
    </row>
    <row r="123">
      <c r="A123" s="15">
        <f>IF(109&gt;$C$8,"",109)</f>
        <v/>
      </c>
      <c r="B123" s="16">
        <f>IF(109&gt;$C$8,"",$C$6)</f>
        <v/>
      </c>
      <c r="C123" s="16">
        <f>IF(109&gt;$C$8,"",C122+$C$6)</f>
        <v/>
      </c>
      <c r="D123" s="16">
        <f>IF(109&gt;$C$8,"",D122*(1+$C$7)+$C$6)</f>
        <v/>
      </c>
      <c r="E123" s="16">
        <f>IF(109&gt;$C$8,"",D123-C123)</f>
        <v/>
      </c>
    </row>
    <row r="124">
      <c r="A124" s="15">
        <f>IF(110&gt;$C$8,"",110)</f>
        <v/>
      </c>
      <c r="B124" s="16">
        <f>IF(110&gt;$C$8,"",$C$6)</f>
        <v/>
      </c>
      <c r="C124" s="16">
        <f>IF(110&gt;$C$8,"",C123+$C$6)</f>
        <v/>
      </c>
      <c r="D124" s="16">
        <f>IF(110&gt;$C$8,"",D123*(1+$C$7)+$C$6)</f>
        <v/>
      </c>
      <c r="E124" s="16">
        <f>IF(110&gt;$C$8,"",D124-C124)</f>
        <v/>
      </c>
    </row>
    <row r="125">
      <c r="A125" s="15">
        <f>IF(111&gt;$C$8,"",111)</f>
        <v/>
      </c>
      <c r="B125" s="16">
        <f>IF(111&gt;$C$8,"",$C$6)</f>
        <v/>
      </c>
      <c r="C125" s="16">
        <f>IF(111&gt;$C$8,"",C124+$C$6)</f>
        <v/>
      </c>
      <c r="D125" s="16">
        <f>IF(111&gt;$C$8,"",D124*(1+$C$7)+$C$6)</f>
        <v/>
      </c>
      <c r="E125" s="16">
        <f>IF(111&gt;$C$8,"",D125-C125)</f>
        <v/>
      </c>
    </row>
    <row r="126">
      <c r="A126" s="15">
        <f>IF(112&gt;$C$8,"",112)</f>
        <v/>
      </c>
      <c r="B126" s="16">
        <f>IF(112&gt;$C$8,"",$C$6)</f>
        <v/>
      </c>
      <c r="C126" s="16">
        <f>IF(112&gt;$C$8,"",C125+$C$6)</f>
        <v/>
      </c>
      <c r="D126" s="16">
        <f>IF(112&gt;$C$8,"",D125*(1+$C$7)+$C$6)</f>
        <v/>
      </c>
      <c r="E126" s="16">
        <f>IF(112&gt;$C$8,"",D126-C126)</f>
        <v/>
      </c>
    </row>
    <row r="127">
      <c r="A127" s="15">
        <f>IF(113&gt;$C$8,"",113)</f>
        <v/>
      </c>
      <c r="B127" s="16">
        <f>IF(113&gt;$C$8,"",$C$6)</f>
        <v/>
      </c>
      <c r="C127" s="16">
        <f>IF(113&gt;$C$8,"",C126+$C$6)</f>
        <v/>
      </c>
      <c r="D127" s="16">
        <f>IF(113&gt;$C$8,"",D126*(1+$C$7)+$C$6)</f>
        <v/>
      </c>
      <c r="E127" s="16">
        <f>IF(113&gt;$C$8,"",D127-C127)</f>
        <v/>
      </c>
    </row>
    <row r="128">
      <c r="A128" s="15">
        <f>IF(114&gt;$C$8,"",114)</f>
        <v/>
      </c>
      <c r="B128" s="16">
        <f>IF(114&gt;$C$8,"",$C$6)</f>
        <v/>
      </c>
      <c r="C128" s="16">
        <f>IF(114&gt;$C$8,"",C127+$C$6)</f>
        <v/>
      </c>
      <c r="D128" s="16">
        <f>IF(114&gt;$C$8,"",D127*(1+$C$7)+$C$6)</f>
        <v/>
      </c>
      <c r="E128" s="16">
        <f>IF(114&gt;$C$8,"",D128-C128)</f>
        <v/>
      </c>
    </row>
    <row r="129">
      <c r="A129" s="15">
        <f>IF(115&gt;$C$8,"",115)</f>
        <v/>
      </c>
      <c r="B129" s="16">
        <f>IF(115&gt;$C$8,"",$C$6)</f>
        <v/>
      </c>
      <c r="C129" s="16">
        <f>IF(115&gt;$C$8,"",C128+$C$6)</f>
        <v/>
      </c>
      <c r="D129" s="16">
        <f>IF(115&gt;$C$8,"",D128*(1+$C$7)+$C$6)</f>
        <v/>
      </c>
      <c r="E129" s="16">
        <f>IF(115&gt;$C$8,"",D129-C129)</f>
        <v/>
      </c>
    </row>
    <row r="130">
      <c r="A130" s="15">
        <f>IF(116&gt;$C$8,"",116)</f>
        <v/>
      </c>
      <c r="B130" s="16">
        <f>IF(116&gt;$C$8,"",$C$6)</f>
        <v/>
      </c>
      <c r="C130" s="16">
        <f>IF(116&gt;$C$8,"",C129+$C$6)</f>
        <v/>
      </c>
      <c r="D130" s="16">
        <f>IF(116&gt;$C$8,"",D129*(1+$C$7)+$C$6)</f>
        <v/>
      </c>
      <c r="E130" s="16">
        <f>IF(116&gt;$C$8,"",D130-C130)</f>
        <v/>
      </c>
    </row>
    <row r="131">
      <c r="A131" s="15">
        <f>IF(117&gt;$C$8,"",117)</f>
        <v/>
      </c>
      <c r="B131" s="16">
        <f>IF(117&gt;$C$8,"",$C$6)</f>
        <v/>
      </c>
      <c r="C131" s="16">
        <f>IF(117&gt;$C$8,"",C130+$C$6)</f>
        <v/>
      </c>
      <c r="D131" s="16">
        <f>IF(117&gt;$C$8,"",D130*(1+$C$7)+$C$6)</f>
        <v/>
      </c>
      <c r="E131" s="16">
        <f>IF(117&gt;$C$8,"",D131-C131)</f>
        <v/>
      </c>
    </row>
    <row r="132">
      <c r="A132" s="15">
        <f>IF(118&gt;$C$8,"",118)</f>
        <v/>
      </c>
      <c r="B132" s="16">
        <f>IF(118&gt;$C$8,"",$C$6)</f>
        <v/>
      </c>
      <c r="C132" s="16">
        <f>IF(118&gt;$C$8,"",C131+$C$6)</f>
        <v/>
      </c>
      <c r="D132" s="16">
        <f>IF(118&gt;$C$8,"",D131*(1+$C$7)+$C$6)</f>
        <v/>
      </c>
      <c r="E132" s="16">
        <f>IF(118&gt;$C$8,"",D132-C132)</f>
        <v/>
      </c>
    </row>
    <row r="133">
      <c r="A133" s="15">
        <f>IF(119&gt;$C$8,"",119)</f>
        <v/>
      </c>
      <c r="B133" s="16">
        <f>IF(119&gt;$C$8,"",$C$6)</f>
        <v/>
      </c>
      <c r="C133" s="16">
        <f>IF(119&gt;$C$8,"",C132+$C$6)</f>
        <v/>
      </c>
      <c r="D133" s="16">
        <f>IF(119&gt;$C$8,"",D132*(1+$C$7)+$C$6)</f>
        <v/>
      </c>
      <c r="E133" s="16">
        <f>IF(119&gt;$C$8,"",D133-C133)</f>
        <v/>
      </c>
    </row>
    <row r="134">
      <c r="A134" s="15">
        <f>IF(120&gt;$C$8,"",120)</f>
        <v/>
      </c>
      <c r="B134" s="16">
        <f>IF(120&gt;$C$8,"",$C$6)</f>
        <v/>
      </c>
      <c r="C134" s="16">
        <f>IF(120&gt;$C$8,"",C133+$C$6)</f>
        <v/>
      </c>
      <c r="D134" s="16">
        <f>IF(120&gt;$C$8,"",D133*(1+$C$7)+$C$6)</f>
        <v/>
      </c>
      <c r="E134" s="16">
        <f>IF(120&gt;$C$8,"",D134-C134)</f>
        <v/>
      </c>
    </row>
    <row r="135">
      <c r="A135" s="15">
        <f>IF(121&gt;$C$8,"",121)</f>
        <v/>
      </c>
      <c r="B135" s="16">
        <f>IF(121&gt;$C$8,"",$C$6)</f>
        <v/>
      </c>
      <c r="C135" s="16">
        <f>IF(121&gt;$C$8,"",C134+$C$6)</f>
        <v/>
      </c>
      <c r="D135" s="16">
        <f>IF(121&gt;$C$8,"",D134*(1+$C$7)+$C$6)</f>
        <v/>
      </c>
      <c r="E135" s="16">
        <f>IF(121&gt;$C$8,"",D135-C135)</f>
        <v/>
      </c>
    </row>
    <row r="136">
      <c r="A136" s="15">
        <f>IF(122&gt;$C$8,"",122)</f>
        <v/>
      </c>
      <c r="B136" s="16">
        <f>IF(122&gt;$C$8,"",$C$6)</f>
        <v/>
      </c>
      <c r="C136" s="16">
        <f>IF(122&gt;$C$8,"",C135+$C$6)</f>
        <v/>
      </c>
      <c r="D136" s="16">
        <f>IF(122&gt;$C$8,"",D135*(1+$C$7)+$C$6)</f>
        <v/>
      </c>
      <c r="E136" s="16">
        <f>IF(122&gt;$C$8,"",D136-C136)</f>
        <v/>
      </c>
    </row>
    <row r="137">
      <c r="A137" s="15">
        <f>IF(123&gt;$C$8,"",123)</f>
        <v/>
      </c>
      <c r="B137" s="16">
        <f>IF(123&gt;$C$8,"",$C$6)</f>
        <v/>
      </c>
      <c r="C137" s="16">
        <f>IF(123&gt;$C$8,"",C136+$C$6)</f>
        <v/>
      </c>
      <c r="D137" s="16">
        <f>IF(123&gt;$C$8,"",D136*(1+$C$7)+$C$6)</f>
        <v/>
      </c>
      <c r="E137" s="16">
        <f>IF(123&gt;$C$8,"",D137-C137)</f>
        <v/>
      </c>
    </row>
    <row r="138">
      <c r="A138" s="15">
        <f>IF(124&gt;$C$8,"",124)</f>
        <v/>
      </c>
      <c r="B138" s="16">
        <f>IF(124&gt;$C$8,"",$C$6)</f>
        <v/>
      </c>
      <c r="C138" s="16">
        <f>IF(124&gt;$C$8,"",C137+$C$6)</f>
        <v/>
      </c>
      <c r="D138" s="16">
        <f>IF(124&gt;$C$8,"",D137*(1+$C$7)+$C$6)</f>
        <v/>
      </c>
      <c r="E138" s="16">
        <f>IF(124&gt;$C$8,"",D138-C138)</f>
        <v/>
      </c>
    </row>
    <row r="139">
      <c r="A139" s="15">
        <f>IF(125&gt;$C$8,"",125)</f>
        <v/>
      </c>
      <c r="B139" s="16">
        <f>IF(125&gt;$C$8,"",$C$6)</f>
        <v/>
      </c>
      <c r="C139" s="16">
        <f>IF(125&gt;$C$8,"",C138+$C$6)</f>
        <v/>
      </c>
      <c r="D139" s="16">
        <f>IF(125&gt;$C$8,"",D138*(1+$C$7)+$C$6)</f>
        <v/>
      </c>
      <c r="E139" s="16">
        <f>IF(125&gt;$C$8,"",D139-C139)</f>
        <v/>
      </c>
    </row>
    <row r="140">
      <c r="A140" s="15">
        <f>IF(126&gt;$C$8,"",126)</f>
        <v/>
      </c>
      <c r="B140" s="16">
        <f>IF(126&gt;$C$8,"",$C$6)</f>
        <v/>
      </c>
      <c r="C140" s="16">
        <f>IF(126&gt;$C$8,"",C139+$C$6)</f>
        <v/>
      </c>
      <c r="D140" s="16">
        <f>IF(126&gt;$C$8,"",D139*(1+$C$7)+$C$6)</f>
        <v/>
      </c>
      <c r="E140" s="16">
        <f>IF(126&gt;$C$8,"",D140-C140)</f>
        <v/>
      </c>
    </row>
    <row r="141">
      <c r="A141" s="15">
        <f>IF(127&gt;$C$8,"",127)</f>
        <v/>
      </c>
      <c r="B141" s="16">
        <f>IF(127&gt;$C$8,"",$C$6)</f>
        <v/>
      </c>
      <c r="C141" s="16">
        <f>IF(127&gt;$C$8,"",C140+$C$6)</f>
        <v/>
      </c>
      <c r="D141" s="16">
        <f>IF(127&gt;$C$8,"",D140*(1+$C$7)+$C$6)</f>
        <v/>
      </c>
      <c r="E141" s="16">
        <f>IF(127&gt;$C$8,"",D141-C141)</f>
        <v/>
      </c>
    </row>
    <row r="142">
      <c r="A142" s="15">
        <f>IF(128&gt;$C$8,"",128)</f>
        <v/>
      </c>
      <c r="B142" s="16">
        <f>IF(128&gt;$C$8,"",$C$6)</f>
        <v/>
      </c>
      <c r="C142" s="16">
        <f>IF(128&gt;$C$8,"",C141+$C$6)</f>
        <v/>
      </c>
      <c r="D142" s="16">
        <f>IF(128&gt;$C$8,"",D141*(1+$C$7)+$C$6)</f>
        <v/>
      </c>
      <c r="E142" s="16">
        <f>IF(128&gt;$C$8,"",D142-C142)</f>
        <v/>
      </c>
    </row>
    <row r="143">
      <c r="A143" s="15">
        <f>IF(129&gt;$C$8,"",129)</f>
        <v/>
      </c>
      <c r="B143" s="16">
        <f>IF(129&gt;$C$8,"",$C$6)</f>
        <v/>
      </c>
      <c r="C143" s="16">
        <f>IF(129&gt;$C$8,"",C142+$C$6)</f>
        <v/>
      </c>
      <c r="D143" s="16">
        <f>IF(129&gt;$C$8,"",D142*(1+$C$7)+$C$6)</f>
        <v/>
      </c>
      <c r="E143" s="16">
        <f>IF(129&gt;$C$8,"",D143-C143)</f>
        <v/>
      </c>
    </row>
    <row r="144">
      <c r="A144" s="15">
        <f>IF(130&gt;$C$8,"",130)</f>
        <v/>
      </c>
      <c r="B144" s="16">
        <f>IF(130&gt;$C$8,"",$C$6)</f>
        <v/>
      </c>
      <c r="C144" s="16">
        <f>IF(130&gt;$C$8,"",C143+$C$6)</f>
        <v/>
      </c>
      <c r="D144" s="16">
        <f>IF(130&gt;$C$8,"",D143*(1+$C$7)+$C$6)</f>
        <v/>
      </c>
      <c r="E144" s="16">
        <f>IF(130&gt;$C$8,"",D144-C144)</f>
        <v/>
      </c>
    </row>
    <row r="145">
      <c r="A145" s="15">
        <f>IF(131&gt;$C$8,"",131)</f>
        <v/>
      </c>
      <c r="B145" s="16">
        <f>IF(131&gt;$C$8,"",$C$6)</f>
        <v/>
      </c>
      <c r="C145" s="16">
        <f>IF(131&gt;$C$8,"",C144+$C$6)</f>
        <v/>
      </c>
      <c r="D145" s="16">
        <f>IF(131&gt;$C$8,"",D144*(1+$C$7)+$C$6)</f>
        <v/>
      </c>
      <c r="E145" s="16">
        <f>IF(131&gt;$C$8,"",D145-C145)</f>
        <v/>
      </c>
    </row>
    <row r="146">
      <c r="A146" s="15">
        <f>IF(132&gt;$C$8,"",132)</f>
        <v/>
      </c>
      <c r="B146" s="16">
        <f>IF(132&gt;$C$8,"",$C$6)</f>
        <v/>
      </c>
      <c r="C146" s="16">
        <f>IF(132&gt;$C$8,"",C145+$C$6)</f>
        <v/>
      </c>
      <c r="D146" s="16">
        <f>IF(132&gt;$C$8,"",D145*(1+$C$7)+$C$6)</f>
        <v/>
      </c>
      <c r="E146" s="16">
        <f>IF(132&gt;$C$8,"",D146-C146)</f>
        <v/>
      </c>
    </row>
    <row r="147">
      <c r="A147" s="15">
        <f>IF(133&gt;$C$8,"",133)</f>
        <v/>
      </c>
      <c r="B147" s="16">
        <f>IF(133&gt;$C$8,"",$C$6)</f>
        <v/>
      </c>
      <c r="C147" s="16">
        <f>IF(133&gt;$C$8,"",C146+$C$6)</f>
        <v/>
      </c>
      <c r="D147" s="16">
        <f>IF(133&gt;$C$8,"",D146*(1+$C$7)+$C$6)</f>
        <v/>
      </c>
      <c r="E147" s="16">
        <f>IF(133&gt;$C$8,"",D147-C147)</f>
        <v/>
      </c>
    </row>
    <row r="148">
      <c r="A148" s="15">
        <f>IF(134&gt;$C$8,"",134)</f>
        <v/>
      </c>
      <c r="B148" s="16">
        <f>IF(134&gt;$C$8,"",$C$6)</f>
        <v/>
      </c>
      <c r="C148" s="16">
        <f>IF(134&gt;$C$8,"",C147+$C$6)</f>
        <v/>
      </c>
      <c r="D148" s="16">
        <f>IF(134&gt;$C$8,"",D147*(1+$C$7)+$C$6)</f>
        <v/>
      </c>
      <c r="E148" s="16">
        <f>IF(134&gt;$C$8,"",D148-C148)</f>
        <v/>
      </c>
    </row>
    <row r="149">
      <c r="A149" s="15">
        <f>IF(135&gt;$C$8,"",135)</f>
        <v/>
      </c>
      <c r="B149" s="16">
        <f>IF(135&gt;$C$8,"",$C$6)</f>
        <v/>
      </c>
      <c r="C149" s="16">
        <f>IF(135&gt;$C$8,"",C148+$C$6)</f>
        <v/>
      </c>
      <c r="D149" s="16">
        <f>IF(135&gt;$C$8,"",D148*(1+$C$7)+$C$6)</f>
        <v/>
      </c>
      <c r="E149" s="16">
        <f>IF(135&gt;$C$8,"",D149-C149)</f>
        <v/>
      </c>
    </row>
    <row r="150">
      <c r="A150" s="15">
        <f>IF(136&gt;$C$8,"",136)</f>
        <v/>
      </c>
      <c r="B150" s="16">
        <f>IF(136&gt;$C$8,"",$C$6)</f>
        <v/>
      </c>
      <c r="C150" s="16">
        <f>IF(136&gt;$C$8,"",C149+$C$6)</f>
        <v/>
      </c>
      <c r="D150" s="16">
        <f>IF(136&gt;$C$8,"",D149*(1+$C$7)+$C$6)</f>
        <v/>
      </c>
      <c r="E150" s="16">
        <f>IF(136&gt;$C$8,"",D150-C150)</f>
        <v/>
      </c>
    </row>
    <row r="151">
      <c r="A151" s="15">
        <f>IF(137&gt;$C$8,"",137)</f>
        <v/>
      </c>
      <c r="B151" s="16">
        <f>IF(137&gt;$C$8,"",$C$6)</f>
        <v/>
      </c>
      <c r="C151" s="16">
        <f>IF(137&gt;$C$8,"",C150+$C$6)</f>
        <v/>
      </c>
      <c r="D151" s="16">
        <f>IF(137&gt;$C$8,"",D150*(1+$C$7)+$C$6)</f>
        <v/>
      </c>
      <c r="E151" s="16">
        <f>IF(137&gt;$C$8,"",D151-C151)</f>
        <v/>
      </c>
    </row>
    <row r="152">
      <c r="A152" s="15">
        <f>IF(138&gt;$C$8,"",138)</f>
        <v/>
      </c>
      <c r="B152" s="16">
        <f>IF(138&gt;$C$8,"",$C$6)</f>
        <v/>
      </c>
      <c r="C152" s="16">
        <f>IF(138&gt;$C$8,"",C151+$C$6)</f>
        <v/>
      </c>
      <c r="D152" s="16">
        <f>IF(138&gt;$C$8,"",D151*(1+$C$7)+$C$6)</f>
        <v/>
      </c>
      <c r="E152" s="16">
        <f>IF(138&gt;$C$8,"",D152-C152)</f>
        <v/>
      </c>
    </row>
    <row r="153">
      <c r="A153" s="15">
        <f>IF(139&gt;$C$8,"",139)</f>
        <v/>
      </c>
      <c r="B153" s="16">
        <f>IF(139&gt;$C$8,"",$C$6)</f>
        <v/>
      </c>
      <c r="C153" s="16">
        <f>IF(139&gt;$C$8,"",C152+$C$6)</f>
        <v/>
      </c>
      <c r="D153" s="16">
        <f>IF(139&gt;$C$8,"",D152*(1+$C$7)+$C$6)</f>
        <v/>
      </c>
      <c r="E153" s="16">
        <f>IF(139&gt;$C$8,"",D153-C153)</f>
        <v/>
      </c>
    </row>
    <row r="154">
      <c r="A154" s="15">
        <f>IF(140&gt;$C$8,"",140)</f>
        <v/>
      </c>
      <c r="B154" s="16">
        <f>IF(140&gt;$C$8,"",$C$6)</f>
        <v/>
      </c>
      <c r="C154" s="16">
        <f>IF(140&gt;$C$8,"",C153+$C$6)</f>
        <v/>
      </c>
      <c r="D154" s="16">
        <f>IF(140&gt;$C$8,"",D153*(1+$C$7)+$C$6)</f>
        <v/>
      </c>
      <c r="E154" s="16">
        <f>IF(140&gt;$C$8,"",D154-C154)</f>
        <v/>
      </c>
    </row>
    <row r="155">
      <c r="A155" s="15">
        <f>IF(141&gt;$C$8,"",141)</f>
        <v/>
      </c>
      <c r="B155" s="16">
        <f>IF(141&gt;$C$8,"",$C$6)</f>
        <v/>
      </c>
      <c r="C155" s="16">
        <f>IF(141&gt;$C$8,"",C154+$C$6)</f>
        <v/>
      </c>
      <c r="D155" s="16">
        <f>IF(141&gt;$C$8,"",D154*(1+$C$7)+$C$6)</f>
        <v/>
      </c>
      <c r="E155" s="16">
        <f>IF(141&gt;$C$8,"",D155-C155)</f>
        <v/>
      </c>
    </row>
    <row r="156">
      <c r="A156" s="15">
        <f>IF(142&gt;$C$8,"",142)</f>
        <v/>
      </c>
      <c r="B156" s="16">
        <f>IF(142&gt;$C$8,"",$C$6)</f>
        <v/>
      </c>
      <c r="C156" s="16">
        <f>IF(142&gt;$C$8,"",C155+$C$6)</f>
        <v/>
      </c>
      <c r="D156" s="16">
        <f>IF(142&gt;$C$8,"",D155*(1+$C$7)+$C$6)</f>
        <v/>
      </c>
      <c r="E156" s="16">
        <f>IF(142&gt;$C$8,"",D156-C156)</f>
        <v/>
      </c>
    </row>
    <row r="157">
      <c r="A157" s="15">
        <f>IF(143&gt;$C$8,"",143)</f>
        <v/>
      </c>
      <c r="B157" s="16">
        <f>IF(143&gt;$C$8,"",$C$6)</f>
        <v/>
      </c>
      <c r="C157" s="16">
        <f>IF(143&gt;$C$8,"",C156+$C$6)</f>
        <v/>
      </c>
      <c r="D157" s="16">
        <f>IF(143&gt;$C$8,"",D156*(1+$C$7)+$C$6)</f>
        <v/>
      </c>
      <c r="E157" s="16">
        <f>IF(143&gt;$C$8,"",D157-C157)</f>
        <v/>
      </c>
    </row>
    <row r="158">
      <c r="A158" s="15">
        <f>IF(144&gt;$C$8,"",144)</f>
        <v/>
      </c>
      <c r="B158" s="16">
        <f>IF(144&gt;$C$8,"",$C$6)</f>
        <v/>
      </c>
      <c r="C158" s="16">
        <f>IF(144&gt;$C$8,"",C157+$C$6)</f>
        <v/>
      </c>
      <c r="D158" s="16">
        <f>IF(144&gt;$C$8,"",D157*(1+$C$7)+$C$6)</f>
        <v/>
      </c>
      <c r="E158" s="16">
        <f>IF(144&gt;$C$8,"",D158-C158)</f>
        <v/>
      </c>
    </row>
    <row r="159">
      <c r="A159" s="15">
        <f>IF(145&gt;$C$8,"",145)</f>
        <v/>
      </c>
      <c r="B159" s="16">
        <f>IF(145&gt;$C$8,"",$C$6)</f>
        <v/>
      </c>
      <c r="C159" s="16">
        <f>IF(145&gt;$C$8,"",C158+$C$6)</f>
        <v/>
      </c>
      <c r="D159" s="16">
        <f>IF(145&gt;$C$8,"",D158*(1+$C$7)+$C$6)</f>
        <v/>
      </c>
      <c r="E159" s="16">
        <f>IF(145&gt;$C$8,"",D159-C159)</f>
        <v/>
      </c>
    </row>
    <row r="160">
      <c r="A160" s="15">
        <f>IF(146&gt;$C$8,"",146)</f>
        <v/>
      </c>
      <c r="B160" s="16">
        <f>IF(146&gt;$C$8,"",$C$6)</f>
        <v/>
      </c>
      <c r="C160" s="16">
        <f>IF(146&gt;$C$8,"",C159+$C$6)</f>
        <v/>
      </c>
      <c r="D160" s="16">
        <f>IF(146&gt;$C$8,"",D159*(1+$C$7)+$C$6)</f>
        <v/>
      </c>
      <c r="E160" s="16">
        <f>IF(146&gt;$C$8,"",D160-C160)</f>
        <v/>
      </c>
    </row>
    <row r="161">
      <c r="A161" s="15">
        <f>IF(147&gt;$C$8,"",147)</f>
        <v/>
      </c>
      <c r="B161" s="16">
        <f>IF(147&gt;$C$8,"",$C$6)</f>
        <v/>
      </c>
      <c r="C161" s="16">
        <f>IF(147&gt;$C$8,"",C160+$C$6)</f>
        <v/>
      </c>
      <c r="D161" s="16">
        <f>IF(147&gt;$C$8,"",D160*(1+$C$7)+$C$6)</f>
        <v/>
      </c>
      <c r="E161" s="16">
        <f>IF(147&gt;$C$8,"",D161-C161)</f>
        <v/>
      </c>
    </row>
    <row r="162">
      <c r="A162" s="15">
        <f>IF(148&gt;$C$8,"",148)</f>
        <v/>
      </c>
      <c r="B162" s="16">
        <f>IF(148&gt;$C$8,"",$C$6)</f>
        <v/>
      </c>
      <c r="C162" s="16">
        <f>IF(148&gt;$C$8,"",C161+$C$6)</f>
        <v/>
      </c>
      <c r="D162" s="16">
        <f>IF(148&gt;$C$8,"",D161*(1+$C$7)+$C$6)</f>
        <v/>
      </c>
      <c r="E162" s="16">
        <f>IF(148&gt;$C$8,"",D162-C162)</f>
        <v/>
      </c>
    </row>
    <row r="163">
      <c r="A163" s="15">
        <f>IF(149&gt;$C$8,"",149)</f>
        <v/>
      </c>
      <c r="B163" s="16">
        <f>IF(149&gt;$C$8,"",$C$6)</f>
        <v/>
      </c>
      <c r="C163" s="16">
        <f>IF(149&gt;$C$8,"",C162+$C$6)</f>
        <v/>
      </c>
      <c r="D163" s="16">
        <f>IF(149&gt;$C$8,"",D162*(1+$C$7)+$C$6)</f>
        <v/>
      </c>
      <c r="E163" s="16">
        <f>IF(149&gt;$C$8,"",D163-C163)</f>
        <v/>
      </c>
    </row>
    <row r="164">
      <c r="A164" s="15">
        <f>IF(150&gt;$C$8,"",150)</f>
        <v/>
      </c>
      <c r="B164" s="16">
        <f>IF(150&gt;$C$8,"",$C$6)</f>
        <v/>
      </c>
      <c r="C164" s="16">
        <f>IF(150&gt;$C$8,"",C163+$C$6)</f>
        <v/>
      </c>
      <c r="D164" s="16">
        <f>IF(150&gt;$C$8,"",D163*(1+$C$7)+$C$6)</f>
        <v/>
      </c>
      <c r="E164" s="16">
        <f>IF(150&gt;$C$8,"",D164-C164)</f>
        <v/>
      </c>
    </row>
    <row r="165">
      <c r="A165" s="15">
        <f>IF(151&gt;$C$8,"",151)</f>
        <v/>
      </c>
      <c r="B165" s="16">
        <f>IF(151&gt;$C$8,"",$C$6)</f>
        <v/>
      </c>
      <c r="C165" s="16">
        <f>IF(151&gt;$C$8,"",C164+$C$6)</f>
        <v/>
      </c>
      <c r="D165" s="16">
        <f>IF(151&gt;$C$8,"",D164*(1+$C$7)+$C$6)</f>
        <v/>
      </c>
      <c r="E165" s="16">
        <f>IF(151&gt;$C$8,"",D165-C165)</f>
        <v/>
      </c>
    </row>
    <row r="166">
      <c r="A166" s="15">
        <f>IF(152&gt;$C$8,"",152)</f>
        <v/>
      </c>
      <c r="B166" s="16">
        <f>IF(152&gt;$C$8,"",$C$6)</f>
        <v/>
      </c>
      <c r="C166" s="16">
        <f>IF(152&gt;$C$8,"",C165+$C$6)</f>
        <v/>
      </c>
      <c r="D166" s="16">
        <f>IF(152&gt;$C$8,"",D165*(1+$C$7)+$C$6)</f>
        <v/>
      </c>
      <c r="E166" s="16">
        <f>IF(152&gt;$C$8,"",D166-C166)</f>
        <v/>
      </c>
    </row>
    <row r="167">
      <c r="A167" s="15">
        <f>IF(153&gt;$C$8,"",153)</f>
        <v/>
      </c>
      <c r="B167" s="16">
        <f>IF(153&gt;$C$8,"",$C$6)</f>
        <v/>
      </c>
      <c r="C167" s="16">
        <f>IF(153&gt;$C$8,"",C166+$C$6)</f>
        <v/>
      </c>
      <c r="D167" s="16">
        <f>IF(153&gt;$C$8,"",D166*(1+$C$7)+$C$6)</f>
        <v/>
      </c>
      <c r="E167" s="16">
        <f>IF(153&gt;$C$8,"",D167-C167)</f>
        <v/>
      </c>
    </row>
    <row r="168">
      <c r="A168" s="15">
        <f>IF(154&gt;$C$8,"",154)</f>
        <v/>
      </c>
      <c r="B168" s="16">
        <f>IF(154&gt;$C$8,"",$C$6)</f>
        <v/>
      </c>
      <c r="C168" s="16">
        <f>IF(154&gt;$C$8,"",C167+$C$6)</f>
        <v/>
      </c>
      <c r="D168" s="16">
        <f>IF(154&gt;$C$8,"",D167*(1+$C$7)+$C$6)</f>
        <v/>
      </c>
      <c r="E168" s="16">
        <f>IF(154&gt;$C$8,"",D168-C168)</f>
        <v/>
      </c>
    </row>
    <row r="169">
      <c r="A169" s="15">
        <f>IF(155&gt;$C$8,"",155)</f>
        <v/>
      </c>
      <c r="B169" s="16">
        <f>IF(155&gt;$C$8,"",$C$6)</f>
        <v/>
      </c>
      <c r="C169" s="16">
        <f>IF(155&gt;$C$8,"",C168+$C$6)</f>
        <v/>
      </c>
      <c r="D169" s="16">
        <f>IF(155&gt;$C$8,"",D168*(1+$C$7)+$C$6)</f>
        <v/>
      </c>
      <c r="E169" s="16">
        <f>IF(155&gt;$C$8,"",D169-C169)</f>
        <v/>
      </c>
    </row>
    <row r="170">
      <c r="A170" s="15">
        <f>IF(156&gt;$C$8,"",156)</f>
        <v/>
      </c>
      <c r="B170" s="16">
        <f>IF(156&gt;$C$8,"",$C$6)</f>
        <v/>
      </c>
      <c r="C170" s="16">
        <f>IF(156&gt;$C$8,"",C169+$C$6)</f>
        <v/>
      </c>
      <c r="D170" s="16">
        <f>IF(156&gt;$C$8,"",D169*(1+$C$7)+$C$6)</f>
        <v/>
      </c>
      <c r="E170" s="16">
        <f>IF(156&gt;$C$8,"",D170-C170)</f>
        <v/>
      </c>
    </row>
    <row r="171">
      <c r="A171" s="15">
        <f>IF(157&gt;$C$8,"",157)</f>
        <v/>
      </c>
      <c r="B171" s="16">
        <f>IF(157&gt;$C$8,"",$C$6)</f>
        <v/>
      </c>
      <c r="C171" s="16">
        <f>IF(157&gt;$C$8,"",C170+$C$6)</f>
        <v/>
      </c>
      <c r="D171" s="16">
        <f>IF(157&gt;$C$8,"",D170*(1+$C$7)+$C$6)</f>
        <v/>
      </c>
      <c r="E171" s="16">
        <f>IF(157&gt;$C$8,"",D171-C171)</f>
        <v/>
      </c>
    </row>
    <row r="172">
      <c r="A172" s="15">
        <f>IF(158&gt;$C$8,"",158)</f>
        <v/>
      </c>
      <c r="B172" s="16">
        <f>IF(158&gt;$C$8,"",$C$6)</f>
        <v/>
      </c>
      <c r="C172" s="16">
        <f>IF(158&gt;$C$8,"",C171+$C$6)</f>
        <v/>
      </c>
      <c r="D172" s="16">
        <f>IF(158&gt;$C$8,"",D171*(1+$C$7)+$C$6)</f>
        <v/>
      </c>
      <c r="E172" s="16">
        <f>IF(158&gt;$C$8,"",D172-C172)</f>
        <v/>
      </c>
    </row>
    <row r="173">
      <c r="A173" s="15">
        <f>IF(159&gt;$C$8,"",159)</f>
        <v/>
      </c>
      <c r="B173" s="16">
        <f>IF(159&gt;$C$8,"",$C$6)</f>
        <v/>
      </c>
      <c r="C173" s="16">
        <f>IF(159&gt;$C$8,"",C172+$C$6)</f>
        <v/>
      </c>
      <c r="D173" s="16">
        <f>IF(159&gt;$C$8,"",D172*(1+$C$7)+$C$6)</f>
        <v/>
      </c>
      <c r="E173" s="16">
        <f>IF(159&gt;$C$8,"",D173-C173)</f>
        <v/>
      </c>
    </row>
    <row r="174">
      <c r="A174" s="15">
        <f>IF(160&gt;$C$8,"",160)</f>
        <v/>
      </c>
      <c r="B174" s="16">
        <f>IF(160&gt;$C$8,"",$C$6)</f>
        <v/>
      </c>
      <c r="C174" s="16">
        <f>IF(160&gt;$C$8,"",C173+$C$6)</f>
        <v/>
      </c>
      <c r="D174" s="16">
        <f>IF(160&gt;$C$8,"",D173*(1+$C$7)+$C$6)</f>
        <v/>
      </c>
      <c r="E174" s="16">
        <f>IF(160&gt;$C$8,"",D174-C174)</f>
        <v/>
      </c>
    </row>
    <row r="175">
      <c r="A175" s="15">
        <f>IF(161&gt;$C$8,"",161)</f>
        <v/>
      </c>
      <c r="B175" s="16">
        <f>IF(161&gt;$C$8,"",$C$6)</f>
        <v/>
      </c>
      <c r="C175" s="16">
        <f>IF(161&gt;$C$8,"",C174+$C$6)</f>
        <v/>
      </c>
      <c r="D175" s="16">
        <f>IF(161&gt;$C$8,"",D174*(1+$C$7)+$C$6)</f>
        <v/>
      </c>
      <c r="E175" s="16">
        <f>IF(161&gt;$C$8,"",D175-C175)</f>
        <v/>
      </c>
    </row>
    <row r="176">
      <c r="A176" s="15">
        <f>IF(162&gt;$C$8,"",162)</f>
        <v/>
      </c>
      <c r="B176" s="16">
        <f>IF(162&gt;$C$8,"",$C$6)</f>
        <v/>
      </c>
      <c r="C176" s="16">
        <f>IF(162&gt;$C$8,"",C175+$C$6)</f>
        <v/>
      </c>
      <c r="D176" s="16">
        <f>IF(162&gt;$C$8,"",D175*(1+$C$7)+$C$6)</f>
        <v/>
      </c>
      <c r="E176" s="16">
        <f>IF(162&gt;$C$8,"",D176-C176)</f>
        <v/>
      </c>
    </row>
    <row r="177">
      <c r="A177" s="15">
        <f>IF(163&gt;$C$8,"",163)</f>
        <v/>
      </c>
      <c r="B177" s="16">
        <f>IF(163&gt;$C$8,"",$C$6)</f>
        <v/>
      </c>
      <c r="C177" s="16">
        <f>IF(163&gt;$C$8,"",C176+$C$6)</f>
        <v/>
      </c>
      <c r="D177" s="16">
        <f>IF(163&gt;$C$8,"",D176*(1+$C$7)+$C$6)</f>
        <v/>
      </c>
      <c r="E177" s="16">
        <f>IF(163&gt;$C$8,"",D177-C177)</f>
        <v/>
      </c>
    </row>
    <row r="178">
      <c r="A178" s="15">
        <f>IF(164&gt;$C$8,"",164)</f>
        <v/>
      </c>
      <c r="B178" s="16">
        <f>IF(164&gt;$C$8,"",$C$6)</f>
        <v/>
      </c>
      <c r="C178" s="16">
        <f>IF(164&gt;$C$8,"",C177+$C$6)</f>
        <v/>
      </c>
      <c r="D178" s="16">
        <f>IF(164&gt;$C$8,"",D177*(1+$C$7)+$C$6)</f>
        <v/>
      </c>
      <c r="E178" s="16">
        <f>IF(164&gt;$C$8,"",D178-C178)</f>
        <v/>
      </c>
    </row>
    <row r="179">
      <c r="A179" s="15">
        <f>IF(165&gt;$C$8,"",165)</f>
        <v/>
      </c>
      <c r="B179" s="16">
        <f>IF(165&gt;$C$8,"",$C$6)</f>
        <v/>
      </c>
      <c r="C179" s="16">
        <f>IF(165&gt;$C$8,"",C178+$C$6)</f>
        <v/>
      </c>
      <c r="D179" s="16">
        <f>IF(165&gt;$C$8,"",D178*(1+$C$7)+$C$6)</f>
        <v/>
      </c>
      <c r="E179" s="16">
        <f>IF(165&gt;$C$8,"",D179-C179)</f>
        <v/>
      </c>
    </row>
    <row r="180">
      <c r="A180" s="15">
        <f>IF(166&gt;$C$8,"",166)</f>
        <v/>
      </c>
      <c r="B180" s="16">
        <f>IF(166&gt;$C$8,"",$C$6)</f>
        <v/>
      </c>
      <c r="C180" s="16">
        <f>IF(166&gt;$C$8,"",C179+$C$6)</f>
        <v/>
      </c>
      <c r="D180" s="16">
        <f>IF(166&gt;$C$8,"",D179*(1+$C$7)+$C$6)</f>
        <v/>
      </c>
      <c r="E180" s="16">
        <f>IF(166&gt;$C$8,"",D180-C180)</f>
        <v/>
      </c>
    </row>
    <row r="181">
      <c r="A181" s="15">
        <f>IF(167&gt;$C$8,"",167)</f>
        <v/>
      </c>
      <c r="B181" s="16">
        <f>IF(167&gt;$C$8,"",$C$6)</f>
        <v/>
      </c>
      <c r="C181" s="16">
        <f>IF(167&gt;$C$8,"",C180+$C$6)</f>
        <v/>
      </c>
      <c r="D181" s="16">
        <f>IF(167&gt;$C$8,"",D180*(1+$C$7)+$C$6)</f>
        <v/>
      </c>
      <c r="E181" s="16">
        <f>IF(167&gt;$C$8,"",D181-C181)</f>
        <v/>
      </c>
    </row>
    <row r="182">
      <c r="A182" s="15">
        <f>IF(168&gt;$C$8,"",168)</f>
        <v/>
      </c>
      <c r="B182" s="16">
        <f>IF(168&gt;$C$8,"",$C$6)</f>
        <v/>
      </c>
      <c r="C182" s="16">
        <f>IF(168&gt;$C$8,"",C181+$C$6)</f>
        <v/>
      </c>
      <c r="D182" s="16">
        <f>IF(168&gt;$C$8,"",D181*(1+$C$7)+$C$6)</f>
        <v/>
      </c>
      <c r="E182" s="16">
        <f>IF(168&gt;$C$8,"",D182-C182)</f>
        <v/>
      </c>
    </row>
    <row r="183">
      <c r="A183" s="15">
        <f>IF(169&gt;$C$8,"",169)</f>
        <v/>
      </c>
      <c r="B183" s="16">
        <f>IF(169&gt;$C$8,"",$C$6)</f>
        <v/>
      </c>
      <c r="C183" s="16">
        <f>IF(169&gt;$C$8,"",C182+$C$6)</f>
        <v/>
      </c>
      <c r="D183" s="16">
        <f>IF(169&gt;$C$8,"",D182*(1+$C$7)+$C$6)</f>
        <v/>
      </c>
      <c r="E183" s="16">
        <f>IF(169&gt;$C$8,"",D183-C183)</f>
        <v/>
      </c>
    </row>
    <row r="184">
      <c r="A184" s="15">
        <f>IF(170&gt;$C$8,"",170)</f>
        <v/>
      </c>
      <c r="B184" s="16">
        <f>IF(170&gt;$C$8,"",$C$6)</f>
        <v/>
      </c>
      <c r="C184" s="16">
        <f>IF(170&gt;$C$8,"",C183+$C$6)</f>
        <v/>
      </c>
      <c r="D184" s="16">
        <f>IF(170&gt;$C$8,"",D183*(1+$C$7)+$C$6)</f>
        <v/>
      </c>
      <c r="E184" s="16">
        <f>IF(170&gt;$C$8,"",D184-C184)</f>
        <v/>
      </c>
    </row>
    <row r="185">
      <c r="A185" s="15">
        <f>IF(171&gt;$C$8,"",171)</f>
        <v/>
      </c>
      <c r="B185" s="16">
        <f>IF(171&gt;$C$8,"",$C$6)</f>
        <v/>
      </c>
      <c r="C185" s="16">
        <f>IF(171&gt;$C$8,"",C184+$C$6)</f>
        <v/>
      </c>
      <c r="D185" s="16">
        <f>IF(171&gt;$C$8,"",D184*(1+$C$7)+$C$6)</f>
        <v/>
      </c>
      <c r="E185" s="16">
        <f>IF(171&gt;$C$8,"",D185-C185)</f>
        <v/>
      </c>
    </row>
    <row r="186">
      <c r="A186" s="15">
        <f>IF(172&gt;$C$8,"",172)</f>
        <v/>
      </c>
      <c r="B186" s="16">
        <f>IF(172&gt;$C$8,"",$C$6)</f>
        <v/>
      </c>
      <c r="C186" s="16">
        <f>IF(172&gt;$C$8,"",C185+$C$6)</f>
        <v/>
      </c>
      <c r="D186" s="16">
        <f>IF(172&gt;$C$8,"",D185*(1+$C$7)+$C$6)</f>
        <v/>
      </c>
      <c r="E186" s="16">
        <f>IF(172&gt;$C$8,"",D186-C186)</f>
        <v/>
      </c>
    </row>
    <row r="187">
      <c r="A187" s="15">
        <f>IF(173&gt;$C$8,"",173)</f>
        <v/>
      </c>
      <c r="B187" s="16">
        <f>IF(173&gt;$C$8,"",$C$6)</f>
        <v/>
      </c>
      <c r="C187" s="16">
        <f>IF(173&gt;$C$8,"",C186+$C$6)</f>
        <v/>
      </c>
      <c r="D187" s="16">
        <f>IF(173&gt;$C$8,"",D186*(1+$C$7)+$C$6)</f>
        <v/>
      </c>
      <c r="E187" s="16">
        <f>IF(173&gt;$C$8,"",D187-C187)</f>
        <v/>
      </c>
    </row>
    <row r="188">
      <c r="A188" s="15">
        <f>IF(174&gt;$C$8,"",174)</f>
        <v/>
      </c>
      <c r="B188" s="16">
        <f>IF(174&gt;$C$8,"",$C$6)</f>
        <v/>
      </c>
      <c r="C188" s="16">
        <f>IF(174&gt;$C$8,"",C187+$C$6)</f>
        <v/>
      </c>
      <c r="D188" s="16">
        <f>IF(174&gt;$C$8,"",D187*(1+$C$7)+$C$6)</f>
        <v/>
      </c>
      <c r="E188" s="16">
        <f>IF(174&gt;$C$8,"",D188-C188)</f>
        <v/>
      </c>
    </row>
    <row r="189">
      <c r="A189" s="15">
        <f>IF(175&gt;$C$8,"",175)</f>
        <v/>
      </c>
      <c r="B189" s="16">
        <f>IF(175&gt;$C$8,"",$C$6)</f>
        <v/>
      </c>
      <c r="C189" s="16">
        <f>IF(175&gt;$C$8,"",C188+$C$6)</f>
        <v/>
      </c>
      <c r="D189" s="16">
        <f>IF(175&gt;$C$8,"",D188*(1+$C$7)+$C$6)</f>
        <v/>
      </c>
      <c r="E189" s="16">
        <f>IF(175&gt;$C$8,"",D189-C189)</f>
        <v/>
      </c>
    </row>
    <row r="190">
      <c r="A190" s="15">
        <f>IF(176&gt;$C$8,"",176)</f>
        <v/>
      </c>
      <c r="B190" s="16">
        <f>IF(176&gt;$C$8,"",$C$6)</f>
        <v/>
      </c>
      <c r="C190" s="16">
        <f>IF(176&gt;$C$8,"",C189+$C$6)</f>
        <v/>
      </c>
      <c r="D190" s="16">
        <f>IF(176&gt;$C$8,"",D189*(1+$C$7)+$C$6)</f>
        <v/>
      </c>
      <c r="E190" s="16">
        <f>IF(176&gt;$C$8,"",D190-C190)</f>
        <v/>
      </c>
    </row>
    <row r="191">
      <c r="A191" s="15">
        <f>IF(177&gt;$C$8,"",177)</f>
        <v/>
      </c>
      <c r="B191" s="16">
        <f>IF(177&gt;$C$8,"",$C$6)</f>
        <v/>
      </c>
      <c r="C191" s="16">
        <f>IF(177&gt;$C$8,"",C190+$C$6)</f>
        <v/>
      </c>
      <c r="D191" s="16">
        <f>IF(177&gt;$C$8,"",D190*(1+$C$7)+$C$6)</f>
        <v/>
      </c>
      <c r="E191" s="16">
        <f>IF(177&gt;$C$8,"",D191-C191)</f>
        <v/>
      </c>
    </row>
    <row r="192">
      <c r="A192" s="15">
        <f>IF(178&gt;$C$8,"",178)</f>
        <v/>
      </c>
      <c r="B192" s="16">
        <f>IF(178&gt;$C$8,"",$C$6)</f>
        <v/>
      </c>
      <c r="C192" s="16">
        <f>IF(178&gt;$C$8,"",C191+$C$6)</f>
        <v/>
      </c>
      <c r="D192" s="16">
        <f>IF(178&gt;$C$8,"",D191*(1+$C$7)+$C$6)</f>
        <v/>
      </c>
      <c r="E192" s="16">
        <f>IF(178&gt;$C$8,"",D192-C192)</f>
        <v/>
      </c>
    </row>
    <row r="193">
      <c r="A193" s="15">
        <f>IF(179&gt;$C$8,"",179)</f>
        <v/>
      </c>
      <c r="B193" s="16">
        <f>IF(179&gt;$C$8,"",$C$6)</f>
        <v/>
      </c>
      <c r="C193" s="16">
        <f>IF(179&gt;$C$8,"",C192+$C$6)</f>
        <v/>
      </c>
      <c r="D193" s="16">
        <f>IF(179&gt;$C$8,"",D192*(1+$C$7)+$C$6)</f>
        <v/>
      </c>
      <c r="E193" s="16">
        <f>IF(179&gt;$C$8,"",D193-C193)</f>
        <v/>
      </c>
    </row>
    <row r="194">
      <c r="A194" s="15">
        <f>IF(180&gt;$C$8,"",180)</f>
        <v/>
      </c>
      <c r="B194" s="16">
        <f>IF(180&gt;$C$8,"",$C$6)</f>
        <v/>
      </c>
      <c r="C194" s="16">
        <f>IF(180&gt;$C$8,"",C193+$C$6)</f>
        <v/>
      </c>
      <c r="D194" s="16">
        <f>IF(180&gt;$C$8,"",D193*(1+$C$7)+$C$6)</f>
        <v/>
      </c>
      <c r="E194" s="16">
        <f>IF(180&gt;$C$8,"",D194-C194)</f>
        <v/>
      </c>
    </row>
    <row r="195">
      <c r="A195" s="15">
        <f>IF(181&gt;$C$8,"",181)</f>
        <v/>
      </c>
      <c r="B195" s="16">
        <f>IF(181&gt;$C$8,"",$C$6)</f>
        <v/>
      </c>
      <c r="C195" s="16">
        <f>IF(181&gt;$C$8,"",C194+$C$6)</f>
        <v/>
      </c>
      <c r="D195" s="16">
        <f>IF(181&gt;$C$8,"",D194*(1+$C$7)+$C$6)</f>
        <v/>
      </c>
      <c r="E195" s="16">
        <f>IF(181&gt;$C$8,"",D195-C195)</f>
        <v/>
      </c>
    </row>
    <row r="196">
      <c r="A196" s="15">
        <f>IF(182&gt;$C$8,"",182)</f>
        <v/>
      </c>
      <c r="B196" s="16">
        <f>IF(182&gt;$C$8,"",$C$6)</f>
        <v/>
      </c>
      <c r="C196" s="16">
        <f>IF(182&gt;$C$8,"",C195+$C$6)</f>
        <v/>
      </c>
      <c r="D196" s="16">
        <f>IF(182&gt;$C$8,"",D195*(1+$C$7)+$C$6)</f>
        <v/>
      </c>
      <c r="E196" s="16">
        <f>IF(182&gt;$C$8,"",D196-C196)</f>
        <v/>
      </c>
    </row>
    <row r="197">
      <c r="A197" s="15">
        <f>IF(183&gt;$C$8,"",183)</f>
        <v/>
      </c>
      <c r="B197" s="16">
        <f>IF(183&gt;$C$8,"",$C$6)</f>
        <v/>
      </c>
      <c r="C197" s="16">
        <f>IF(183&gt;$C$8,"",C196+$C$6)</f>
        <v/>
      </c>
      <c r="D197" s="16">
        <f>IF(183&gt;$C$8,"",D196*(1+$C$7)+$C$6)</f>
        <v/>
      </c>
      <c r="E197" s="16">
        <f>IF(183&gt;$C$8,"",D197-C197)</f>
        <v/>
      </c>
    </row>
    <row r="198">
      <c r="A198" s="15">
        <f>IF(184&gt;$C$8,"",184)</f>
        <v/>
      </c>
      <c r="B198" s="16">
        <f>IF(184&gt;$C$8,"",$C$6)</f>
        <v/>
      </c>
      <c r="C198" s="16">
        <f>IF(184&gt;$C$8,"",C197+$C$6)</f>
        <v/>
      </c>
      <c r="D198" s="16">
        <f>IF(184&gt;$C$8,"",D197*(1+$C$7)+$C$6)</f>
        <v/>
      </c>
      <c r="E198" s="16">
        <f>IF(184&gt;$C$8,"",D198-C198)</f>
        <v/>
      </c>
    </row>
    <row r="199">
      <c r="A199" s="15">
        <f>IF(185&gt;$C$8,"",185)</f>
        <v/>
      </c>
      <c r="B199" s="16">
        <f>IF(185&gt;$C$8,"",$C$6)</f>
        <v/>
      </c>
      <c r="C199" s="16">
        <f>IF(185&gt;$C$8,"",C198+$C$6)</f>
        <v/>
      </c>
      <c r="D199" s="16">
        <f>IF(185&gt;$C$8,"",D198*(1+$C$7)+$C$6)</f>
        <v/>
      </c>
      <c r="E199" s="16">
        <f>IF(185&gt;$C$8,"",D199-C199)</f>
        <v/>
      </c>
    </row>
    <row r="200">
      <c r="A200" s="15">
        <f>IF(186&gt;$C$8,"",186)</f>
        <v/>
      </c>
      <c r="B200" s="16">
        <f>IF(186&gt;$C$8,"",$C$6)</f>
        <v/>
      </c>
      <c r="C200" s="16">
        <f>IF(186&gt;$C$8,"",C199+$C$6)</f>
        <v/>
      </c>
      <c r="D200" s="16">
        <f>IF(186&gt;$C$8,"",D199*(1+$C$7)+$C$6)</f>
        <v/>
      </c>
      <c r="E200" s="16">
        <f>IF(186&gt;$C$8,"",D200-C200)</f>
        <v/>
      </c>
    </row>
    <row r="201">
      <c r="A201" s="15">
        <f>IF(187&gt;$C$8,"",187)</f>
        <v/>
      </c>
      <c r="B201" s="16">
        <f>IF(187&gt;$C$8,"",$C$6)</f>
        <v/>
      </c>
      <c r="C201" s="16">
        <f>IF(187&gt;$C$8,"",C200+$C$6)</f>
        <v/>
      </c>
      <c r="D201" s="16">
        <f>IF(187&gt;$C$8,"",D200*(1+$C$7)+$C$6)</f>
        <v/>
      </c>
      <c r="E201" s="16">
        <f>IF(187&gt;$C$8,"",D201-C201)</f>
        <v/>
      </c>
    </row>
    <row r="202">
      <c r="A202" s="15">
        <f>IF(188&gt;$C$8,"",188)</f>
        <v/>
      </c>
      <c r="B202" s="16">
        <f>IF(188&gt;$C$8,"",$C$6)</f>
        <v/>
      </c>
      <c r="C202" s="16">
        <f>IF(188&gt;$C$8,"",C201+$C$6)</f>
        <v/>
      </c>
      <c r="D202" s="16">
        <f>IF(188&gt;$C$8,"",D201*(1+$C$7)+$C$6)</f>
        <v/>
      </c>
      <c r="E202" s="16">
        <f>IF(188&gt;$C$8,"",D202-C202)</f>
        <v/>
      </c>
    </row>
    <row r="203">
      <c r="A203" s="15">
        <f>IF(189&gt;$C$8,"",189)</f>
        <v/>
      </c>
      <c r="B203" s="16">
        <f>IF(189&gt;$C$8,"",$C$6)</f>
        <v/>
      </c>
      <c r="C203" s="16">
        <f>IF(189&gt;$C$8,"",C202+$C$6)</f>
        <v/>
      </c>
      <c r="D203" s="16">
        <f>IF(189&gt;$C$8,"",D202*(1+$C$7)+$C$6)</f>
        <v/>
      </c>
      <c r="E203" s="16">
        <f>IF(189&gt;$C$8,"",D203-C203)</f>
        <v/>
      </c>
    </row>
    <row r="204">
      <c r="A204" s="15">
        <f>IF(190&gt;$C$8,"",190)</f>
        <v/>
      </c>
      <c r="B204" s="16">
        <f>IF(190&gt;$C$8,"",$C$6)</f>
        <v/>
      </c>
      <c r="C204" s="16">
        <f>IF(190&gt;$C$8,"",C203+$C$6)</f>
        <v/>
      </c>
      <c r="D204" s="16">
        <f>IF(190&gt;$C$8,"",D203*(1+$C$7)+$C$6)</f>
        <v/>
      </c>
      <c r="E204" s="16">
        <f>IF(190&gt;$C$8,"",D204-C204)</f>
        <v/>
      </c>
    </row>
    <row r="205">
      <c r="A205" s="15">
        <f>IF(191&gt;$C$8,"",191)</f>
        <v/>
      </c>
      <c r="B205" s="16">
        <f>IF(191&gt;$C$8,"",$C$6)</f>
        <v/>
      </c>
      <c r="C205" s="16">
        <f>IF(191&gt;$C$8,"",C204+$C$6)</f>
        <v/>
      </c>
      <c r="D205" s="16">
        <f>IF(191&gt;$C$8,"",D204*(1+$C$7)+$C$6)</f>
        <v/>
      </c>
      <c r="E205" s="16">
        <f>IF(191&gt;$C$8,"",D205-C205)</f>
        <v/>
      </c>
    </row>
    <row r="206">
      <c r="A206" s="15">
        <f>IF(192&gt;$C$8,"",192)</f>
        <v/>
      </c>
      <c r="B206" s="16">
        <f>IF(192&gt;$C$8,"",$C$6)</f>
        <v/>
      </c>
      <c r="C206" s="16">
        <f>IF(192&gt;$C$8,"",C205+$C$6)</f>
        <v/>
      </c>
      <c r="D206" s="16">
        <f>IF(192&gt;$C$8,"",D205*(1+$C$7)+$C$6)</f>
        <v/>
      </c>
      <c r="E206" s="16">
        <f>IF(192&gt;$C$8,"",D206-C206)</f>
        <v/>
      </c>
    </row>
    <row r="207">
      <c r="A207" s="15">
        <f>IF(193&gt;$C$8,"",193)</f>
        <v/>
      </c>
      <c r="B207" s="16">
        <f>IF(193&gt;$C$8,"",$C$6)</f>
        <v/>
      </c>
      <c r="C207" s="16">
        <f>IF(193&gt;$C$8,"",C206+$C$6)</f>
        <v/>
      </c>
      <c r="D207" s="16">
        <f>IF(193&gt;$C$8,"",D206*(1+$C$7)+$C$6)</f>
        <v/>
      </c>
      <c r="E207" s="16">
        <f>IF(193&gt;$C$8,"",D207-C207)</f>
        <v/>
      </c>
    </row>
    <row r="208">
      <c r="A208" s="15">
        <f>IF(194&gt;$C$8,"",194)</f>
        <v/>
      </c>
      <c r="B208" s="16">
        <f>IF(194&gt;$C$8,"",$C$6)</f>
        <v/>
      </c>
      <c r="C208" s="16">
        <f>IF(194&gt;$C$8,"",C207+$C$6)</f>
        <v/>
      </c>
      <c r="D208" s="16">
        <f>IF(194&gt;$C$8,"",D207*(1+$C$7)+$C$6)</f>
        <v/>
      </c>
      <c r="E208" s="16">
        <f>IF(194&gt;$C$8,"",D208-C208)</f>
        <v/>
      </c>
    </row>
    <row r="209">
      <c r="A209" s="15">
        <f>IF(195&gt;$C$8,"",195)</f>
        <v/>
      </c>
      <c r="B209" s="16">
        <f>IF(195&gt;$C$8,"",$C$6)</f>
        <v/>
      </c>
      <c r="C209" s="16">
        <f>IF(195&gt;$C$8,"",C208+$C$6)</f>
        <v/>
      </c>
      <c r="D209" s="16">
        <f>IF(195&gt;$C$8,"",D208*(1+$C$7)+$C$6)</f>
        <v/>
      </c>
      <c r="E209" s="16">
        <f>IF(195&gt;$C$8,"",D209-C209)</f>
        <v/>
      </c>
    </row>
    <row r="210">
      <c r="A210" s="15">
        <f>IF(196&gt;$C$8,"",196)</f>
        <v/>
      </c>
      <c r="B210" s="16">
        <f>IF(196&gt;$C$8,"",$C$6)</f>
        <v/>
      </c>
      <c r="C210" s="16">
        <f>IF(196&gt;$C$8,"",C209+$C$6)</f>
        <v/>
      </c>
      <c r="D210" s="16">
        <f>IF(196&gt;$C$8,"",D209*(1+$C$7)+$C$6)</f>
        <v/>
      </c>
      <c r="E210" s="16">
        <f>IF(196&gt;$C$8,"",D210-C210)</f>
        <v/>
      </c>
    </row>
    <row r="211">
      <c r="A211" s="15">
        <f>IF(197&gt;$C$8,"",197)</f>
        <v/>
      </c>
      <c r="B211" s="16">
        <f>IF(197&gt;$C$8,"",$C$6)</f>
        <v/>
      </c>
      <c r="C211" s="16">
        <f>IF(197&gt;$C$8,"",C210+$C$6)</f>
        <v/>
      </c>
      <c r="D211" s="16">
        <f>IF(197&gt;$C$8,"",D210*(1+$C$7)+$C$6)</f>
        <v/>
      </c>
      <c r="E211" s="16">
        <f>IF(197&gt;$C$8,"",D211-C211)</f>
        <v/>
      </c>
    </row>
    <row r="212">
      <c r="A212" s="15">
        <f>IF(198&gt;$C$8,"",198)</f>
        <v/>
      </c>
      <c r="B212" s="16">
        <f>IF(198&gt;$C$8,"",$C$6)</f>
        <v/>
      </c>
      <c r="C212" s="16">
        <f>IF(198&gt;$C$8,"",C211+$C$6)</f>
        <v/>
      </c>
      <c r="D212" s="16">
        <f>IF(198&gt;$C$8,"",D211*(1+$C$7)+$C$6)</f>
        <v/>
      </c>
      <c r="E212" s="16">
        <f>IF(198&gt;$C$8,"",D212-C212)</f>
        <v/>
      </c>
    </row>
    <row r="213">
      <c r="A213" s="15">
        <f>IF(199&gt;$C$8,"",199)</f>
        <v/>
      </c>
      <c r="B213" s="16">
        <f>IF(199&gt;$C$8,"",$C$6)</f>
        <v/>
      </c>
      <c r="C213" s="16">
        <f>IF(199&gt;$C$8,"",C212+$C$6)</f>
        <v/>
      </c>
      <c r="D213" s="16">
        <f>IF(199&gt;$C$8,"",D212*(1+$C$7)+$C$6)</f>
        <v/>
      </c>
      <c r="E213" s="16">
        <f>IF(199&gt;$C$8,"",D213-C213)</f>
        <v/>
      </c>
    </row>
    <row r="214">
      <c r="A214" s="15">
        <f>IF(200&gt;$C$8,"",200)</f>
        <v/>
      </c>
      <c r="B214" s="16">
        <f>IF(200&gt;$C$8,"",$C$6)</f>
        <v/>
      </c>
      <c r="C214" s="16">
        <f>IF(200&gt;$C$8,"",C213+$C$6)</f>
        <v/>
      </c>
      <c r="D214" s="16">
        <f>IF(200&gt;$C$8,"",D213*(1+$C$7)+$C$6)</f>
        <v/>
      </c>
      <c r="E214" s="16">
        <f>IF(200&gt;$C$8,"",D214-C214)</f>
        <v/>
      </c>
    </row>
    <row r="215">
      <c r="A215" s="15">
        <f>IF(201&gt;$C$8,"",201)</f>
        <v/>
      </c>
      <c r="B215" s="16">
        <f>IF(201&gt;$C$8,"",$C$6)</f>
        <v/>
      </c>
      <c r="C215" s="16">
        <f>IF(201&gt;$C$8,"",C214+$C$6)</f>
        <v/>
      </c>
      <c r="D215" s="16">
        <f>IF(201&gt;$C$8,"",D214*(1+$C$7)+$C$6)</f>
        <v/>
      </c>
      <c r="E215" s="16">
        <f>IF(201&gt;$C$8,"",D215-C215)</f>
        <v/>
      </c>
    </row>
    <row r="216">
      <c r="A216" s="15">
        <f>IF(202&gt;$C$8,"",202)</f>
        <v/>
      </c>
      <c r="B216" s="16">
        <f>IF(202&gt;$C$8,"",$C$6)</f>
        <v/>
      </c>
      <c r="C216" s="16">
        <f>IF(202&gt;$C$8,"",C215+$C$6)</f>
        <v/>
      </c>
      <c r="D216" s="16">
        <f>IF(202&gt;$C$8,"",D215*(1+$C$7)+$C$6)</f>
        <v/>
      </c>
      <c r="E216" s="16">
        <f>IF(202&gt;$C$8,"",D216-C216)</f>
        <v/>
      </c>
    </row>
    <row r="217">
      <c r="A217" s="15">
        <f>IF(203&gt;$C$8,"",203)</f>
        <v/>
      </c>
      <c r="B217" s="16">
        <f>IF(203&gt;$C$8,"",$C$6)</f>
        <v/>
      </c>
      <c r="C217" s="16">
        <f>IF(203&gt;$C$8,"",C216+$C$6)</f>
        <v/>
      </c>
      <c r="D217" s="16">
        <f>IF(203&gt;$C$8,"",D216*(1+$C$7)+$C$6)</f>
        <v/>
      </c>
      <c r="E217" s="16">
        <f>IF(203&gt;$C$8,"",D217-C217)</f>
        <v/>
      </c>
    </row>
    <row r="218">
      <c r="A218" s="15">
        <f>IF(204&gt;$C$8,"",204)</f>
        <v/>
      </c>
      <c r="B218" s="16">
        <f>IF(204&gt;$C$8,"",$C$6)</f>
        <v/>
      </c>
      <c r="C218" s="16">
        <f>IF(204&gt;$C$8,"",C217+$C$6)</f>
        <v/>
      </c>
      <c r="D218" s="16">
        <f>IF(204&gt;$C$8,"",D217*(1+$C$7)+$C$6)</f>
        <v/>
      </c>
      <c r="E218" s="16">
        <f>IF(204&gt;$C$8,"",D218-C218)</f>
        <v/>
      </c>
    </row>
    <row r="219">
      <c r="A219" s="15">
        <f>IF(205&gt;$C$8,"",205)</f>
        <v/>
      </c>
      <c r="B219" s="16">
        <f>IF(205&gt;$C$8,"",$C$6)</f>
        <v/>
      </c>
      <c r="C219" s="16">
        <f>IF(205&gt;$C$8,"",C218+$C$6)</f>
        <v/>
      </c>
      <c r="D219" s="16">
        <f>IF(205&gt;$C$8,"",D218*(1+$C$7)+$C$6)</f>
        <v/>
      </c>
      <c r="E219" s="16">
        <f>IF(205&gt;$C$8,"",D219-C219)</f>
        <v/>
      </c>
    </row>
    <row r="220">
      <c r="A220" s="15">
        <f>IF(206&gt;$C$8,"",206)</f>
        <v/>
      </c>
      <c r="B220" s="16">
        <f>IF(206&gt;$C$8,"",$C$6)</f>
        <v/>
      </c>
      <c r="C220" s="16">
        <f>IF(206&gt;$C$8,"",C219+$C$6)</f>
        <v/>
      </c>
      <c r="D220" s="16">
        <f>IF(206&gt;$C$8,"",D219*(1+$C$7)+$C$6)</f>
        <v/>
      </c>
      <c r="E220" s="16">
        <f>IF(206&gt;$C$8,"",D220-C220)</f>
        <v/>
      </c>
    </row>
    <row r="221">
      <c r="A221" s="15">
        <f>IF(207&gt;$C$8,"",207)</f>
        <v/>
      </c>
      <c r="B221" s="16">
        <f>IF(207&gt;$C$8,"",$C$6)</f>
        <v/>
      </c>
      <c r="C221" s="16">
        <f>IF(207&gt;$C$8,"",C220+$C$6)</f>
        <v/>
      </c>
      <c r="D221" s="16">
        <f>IF(207&gt;$C$8,"",D220*(1+$C$7)+$C$6)</f>
        <v/>
      </c>
      <c r="E221" s="16">
        <f>IF(207&gt;$C$8,"",D221-C221)</f>
        <v/>
      </c>
    </row>
    <row r="222">
      <c r="A222" s="15">
        <f>IF(208&gt;$C$8,"",208)</f>
        <v/>
      </c>
      <c r="B222" s="16">
        <f>IF(208&gt;$C$8,"",$C$6)</f>
        <v/>
      </c>
      <c r="C222" s="16">
        <f>IF(208&gt;$C$8,"",C221+$C$6)</f>
        <v/>
      </c>
      <c r="D222" s="16">
        <f>IF(208&gt;$C$8,"",D221*(1+$C$7)+$C$6)</f>
        <v/>
      </c>
      <c r="E222" s="16">
        <f>IF(208&gt;$C$8,"",D222-C222)</f>
        <v/>
      </c>
    </row>
    <row r="223">
      <c r="A223" s="15">
        <f>IF(209&gt;$C$8,"",209)</f>
        <v/>
      </c>
      <c r="B223" s="16">
        <f>IF(209&gt;$C$8,"",$C$6)</f>
        <v/>
      </c>
      <c r="C223" s="16">
        <f>IF(209&gt;$C$8,"",C222+$C$6)</f>
        <v/>
      </c>
      <c r="D223" s="16">
        <f>IF(209&gt;$C$8,"",D222*(1+$C$7)+$C$6)</f>
        <v/>
      </c>
      <c r="E223" s="16">
        <f>IF(209&gt;$C$8,"",D223-C223)</f>
        <v/>
      </c>
    </row>
    <row r="224">
      <c r="A224" s="15">
        <f>IF(210&gt;$C$8,"",210)</f>
        <v/>
      </c>
      <c r="B224" s="16">
        <f>IF(210&gt;$C$8,"",$C$6)</f>
        <v/>
      </c>
      <c r="C224" s="16">
        <f>IF(210&gt;$C$8,"",C223+$C$6)</f>
        <v/>
      </c>
      <c r="D224" s="16">
        <f>IF(210&gt;$C$8,"",D223*(1+$C$7)+$C$6)</f>
        <v/>
      </c>
      <c r="E224" s="16">
        <f>IF(210&gt;$C$8,"",D224-C224)</f>
        <v/>
      </c>
    </row>
    <row r="225">
      <c r="A225" s="15">
        <f>IF(211&gt;$C$8,"",211)</f>
        <v/>
      </c>
      <c r="B225" s="16">
        <f>IF(211&gt;$C$8,"",$C$6)</f>
        <v/>
      </c>
      <c r="C225" s="16">
        <f>IF(211&gt;$C$8,"",C224+$C$6)</f>
        <v/>
      </c>
      <c r="D225" s="16">
        <f>IF(211&gt;$C$8,"",D224*(1+$C$7)+$C$6)</f>
        <v/>
      </c>
      <c r="E225" s="16">
        <f>IF(211&gt;$C$8,"",D225-C225)</f>
        <v/>
      </c>
    </row>
    <row r="226">
      <c r="A226" s="15">
        <f>IF(212&gt;$C$8,"",212)</f>
        <v/>
      </c>
      <c r="B226" s="16">
        <f>IF(212&gt;$C$8,"",$C$6)</f>
        <v/>
      </c>
      <c r="C226" s="16">
        <f>IF(212&gt;$C$8,"",C225+$C$6)</f>
        <v/>
      </c>
      <c r="D226" s="16">
        <f>IF(212&gt;$C$8,"",D225*(1+$C$7)+$C$6)</f>
        <v/>
      </c>
      <c r="E226" s="16">
        <f>IF(212&gt;$C$8,"",D226-C226)</f>
        <v/>
      </c>
    </row>
    <row r="227">
      <c r="A227" s="15">
        <f>IF(213&gt;$C$8,"",213)</f>
        <v/>
      </c>
      <c r="B227" s="16">
        <f>IF(213&gt;$C$8,"",$C$6)</f>
        <v/>
      </c>
      <c r="C227" s="16">
        <f>IF(213&gt;$C$8,"",C226+$C$6)</f>
        <v/>
      </c>
      <c r="D227" s="16">
        <f>IF(213&gt;$C$8,"",D226*(1+$C$7)+$C$6)</f>
        <v/>
      </c>
      <c r="E227" s="16">
        <f>IF(213&gt;$C$8,"",D227-C227)</f>
        <v/>
      </c>
    </row>
    <row r="228">
      <c r="A228" s="15">
        <f>IF(214&gt;$C$8,"",214)</f>
        <v/>
      </c>
      <c r="B228" s="16">
        <f>IF(214&gt;$C$8,"",$C$6)</f>
        <v/>
      </c>
      <c r="C228" s="16">
        <f>IF(214&gt;$C$8,"",C227+$C$6)</f>
        <v/>
      </c>
      <c r="D228" s="16">
        <f>IF(214&gt;$C$8,"",D227*(1+$C$7)+$C$6)</f>
        <v/>
      </c>
      <c r="E228" s="16">
        <f>IF(214&gt;$C$8,"",D228-C228)</f>
        <v/>
      </c>
    </row>
    <row r="229">
      <c r="A229" s="15">
        <f>IF(215&gt;$C$8,"",215)</f>
        <v/>
      </c>
      <c r="B229" s="16">
        <f>IF(215&gt;$C$8,"",$C$6)</f>
        <v/>
      </c>
      <c r="C229" s="16">
        <f>IF(215&gt;$C$8,"",C228+$C$6)</f>
        <v/>
      </c>
      <c r="D229" s="16">
        <f>IF(215&gt;$C$8,"",D228*(1+$C$7)+$C$6)</f>
        <v/>
      </c>
      <c r="E229" s="16">
        <f>IF(215&gt;$C$8,"",D229-C229)</f>
        <v/>
      </c>
    </row>
    <row r="230">
      <c r="A230" s="15">
        <f>IF(216&gt;$C$8,"",216)</f>
        <v/>
      </c>
      <c r="B230" s="16">
        <f>IF(216&gt;$C$8,"",$C$6)</f>
        <v/>
      </c>
      <c r="C230" s="16">
        <f>IF(216&gt;$C$8,"",C229+$C$6)</f>
        <v/>
      </c>
      <c r="D230" s="16">
        <f>IF(216&gt;$C$8,"",D229*(1+$C$7)+$C$6)</f>
        <v/>
      </c>
      <c r="E230" s="16">
        <f>IF(216&gt;$C$8,"",D230-C230)</f>
        <v/>
      </c>
    </row>
    <row r="231">
      <c r="A231" s="15">
        <f>IF(217&gt;$C$8,"",217)</f>
        <v/>
      </c>
      <c r="B231" s="16">
        <f>IF(217&gt;$C$8,"",$C$6)</f>
        <v/>
      </c>
      <c r="C231" s="16">
        <f>IF(217&gt;$C$8,"",C230+$C$6)</f>
        <v/>
      </c>
      <c r="D231" s="16">
        <f>IF(217&gt;$C$8,"",D230*(1+$C$7)+$C$6)</f>
        <v/>
      </c>
      <c r="E231" s="16">
        <f>IF(217&gt;$C$8,"",D231-C231)</f>
        <v/>
      </c>
    </row>
    <row r="232">
      <c r="A232" s="15">
        <f>IF(218&gt;$C$8,"",218)</f>
        <v/>
      </c>
      <c r="B232" s="16">
        <f>IF(218&gt;$C$8,"",$C$6)</f>
        <v/>
      </c>
      <c r="C232" s="16">
        <f>IF(218&gt;$C$8,"",C231+$C$6)</f>
        <v/>
      </c>
      <c r="D232" s="16">
        <f>IF(218&gt;$C$8,"",D231*(1+$C$7)+$C$6)</f>
        <v/>
      </c>
      <c r="E232" s="16">
        <f>IF(218&gt;$C$8,"",D232-C232)</f>
        <v/>
      </c>
    </row>
    <row r="233">
      <c r="A233" s="15">
        <f>IF(219&gt;$C$8,"",219)</f>
        <v/>
      </c>
      <c r="B233" s="16">
        <f>IF(219&gt;$C$8,"",$C$6)</f>
        <v/>
      </c>
      <c r="C233" s="16">
        <f>IF(219&gt;$C$8,"",C232+$C$6)</f>
        <v/>
      </c>
      <c r="D233" s="16">
        <f>IF(219&gt;$C$8,"",D232*(1+$C$7)+$C$6)</f>
        <v/>
      </c>
      <c r="E233" s="16">
        <f>IF(219&gt;$C$8,"",D233-C233)</f>
        <v/>
      </c>
    </row>
    <row r="234">
      <c r="A234" s="15">
        <f>IF(220&gt;$C$8,"",220)</f>
        <v/>
      </c>
      <c r="B234" s="16">
        <f>IF(220&gt;$C$8,"",$C$6)</f>
        <v/>
      </c>
      <c r="C234" s="16">
        <f>IF(220&gt;$C$8,"",C233+$C$6)</f>
        <v/>
      </c>
      <c r="D234" s="16">
        <f>IF(220&gt;$C$8,"",D233*(1+$C$7)+$C$6)</f>
        <v/>
      </c>
      <c r="E234" s="16">
        <f>IF(220&gt;$C$8,"",D234-C234)</f>
        <v/>
      </c>
    </row>
    <row r="235">
      <c r="A235" s="15">
        <f>IF(221&gt;$C$8,"",221)</f>
        <v/>
      </c>
      <c r="B235" s="16">
        <f>IF(221&gt;$C$8,"",$C$6)</f>
        <v/>
      </c>
      <c r="C235" s="16">
        <f>IF(221&gt;$C$8,"",C234+$C$6)</f>
        <v/>
      </c>
      <c r="D235" s="16">
        <f>IF(221&gt;$C$8,"",D234*(1+$C$7)+$C$6)</f>
        <v/>
      </c>
      <c r="E235" s="16">
        <f>IF(221&gt;$C$8,"",D235-C235)</f>
        <v/>
      </c>
    </row>
    <row r="236">
      <c r="A236" s="15">
        <f>IF(222&gt;$C$8,"",222)</f>
        <v/>
      </c>
      <c r="B236" s="16">
        <f>IF(222&gt;$C$8,"",$C$6)</f>
        <v/>
      </c>
      <c r="C236" s="16">
        <f>IF(222&gt;$C$8,"",C235+$C$6)</f>
        <v/>
      </c>
      <c r="D236" s="16">
        <f>IF(222&gt;$C$8,"",D235*(1+$C$7)+$C$6)</f>
        <v/>
      </c>
      <c r="E236" s="16">
        <f>IF(222&gt;$C$8,"",D236-C236)</f>
        <v/>
      </c>
    </row>
    <row r="237">
      <c r="A237" s="15">
        <f>IF(223&gt;$C$8,"",223)</f>
        <v/>
      </c>
      <c r="B237" s="16">
        <f>IF(223&gt;$C$8,"",$C$6)</f>
        <v/>
      </c>
      <c r="C237" s="16">
        <f>IF(223&gt;$C$8,"",C236+$C$6)</f>
        <v/>
      </c>
      <c r="D237" s="16">
        <f>IF(223&gt;$C$8,"",D236*(1+$C$7)+$C$6)</f>
        <v/>
      </c>
      <c r="E237" s="16">
        <f>IF(223&gt;$C$8,"",D237-C237)</f>
        <v/>
      </c>
    </row>
    <row r="238">
      <c r="A238" s="15">
        <f>IF(224&gt;$C$8,"",224)</f>
        <v/>
      </c>
      <c r="B238" s="16">
        <f>IF(224&gt;$C$8,"",$C$6)</f>
        <v/>
      </c>
      <c r="C238" s="16">
        <f>IF(224&gt;$C$8,"",C237+$C$6)</f>
        <v/>
      </c>
      <c r="D238" s="16">
        <f>IF(224&gt;$C$8,"",D237*(1+$C$7)+$C$6)</f>
        <v/>
      </c>
      <c r="E238" s="16">
        <f>IF(224&gt;$C$8,"",D238-C238)</f>
        <v/>
      </c>
    </row>
    <row r="239">
      <c r="A239" s="15">
        <f>IF(225&gt;$C$8,"",225)</f>
        <v/>
      </c>
      <c r="B239" s="16">
        <f>IF(225&gt;$C$8,"",$C$6)</f>
        <v/>
      </c>
      <c r="C239" s="16">
        <f>IF(225&gt;$C$8,"",C238+$C$6)</f>
        <v/>
      </c>
      <c r="D239" s="16">
        <f>IF(225&gt;$C$8,"",D238*(1+$C$7)+$C$6)</f>
        <v/>
      </c>
      <c r="E239" s="16">
        <f>IF(225&gt;$C$8,"",D239-C239)</f>
        <v/>
      </c>
    </row>
    <row r="240">
      <c r="A240" s="15">
        <f>IF(226&gt;$C$8,"",226)</f>
        <v/>
      </c>
      <c r="B240" s="16">
        <f>IF(226&gt;$C$8,"",$C$6)</f>
        <v/>
      </c>
      <c r="C240" s="16">
        <f>IF(226&gt;$C$8,"",C239+$C$6)</f>
        <v/>
      </c>
      <c r="D240" s="16">
        <f>IF(226&gt;$C$8,"",D239*(1+$C$7)+$C$6)</f>
        <v/>
      </c>
      <c r="E240" s="16">
        <f>IF(226&gt;$C$8,"",D240-C240)</f>
        <v/>
      </c>
    </row>
    <row r="241">
      <c r="A241" s="15">
        <f>IF(227&gt;$C$8,"",227)</f>
        <v/>
      </c>
      <c r="B241" s="16">
        <f>IF(227&gt;$C$8,"",$C$6)</f>
        <v/>
      </c>
      <c r="C241" s="16">
        <f>IF(227&gt;$C$8,"",C240+$C$6)</f>
        <v/>
      </c>
      <c r="D241" s="16">
        <f>IF(227&gt;$C$8,"",D240*(1+$C$7)+$C$6)</f>
        <v/>
      </c>
      <c r="E241" s="16">
        <f>IF(227&gt;$C$8,"",D241-C241)</f>
        <v/>
      </c>
    </row>
    <row r="242">
      <c r="A242" s="15">
        <f>IF(228&gt;$C$8,"",228)</f>
        <v/>
      </c>
      <c r="B242" s="16">
        <f>IF(228&gt;$C$8,"",$C$6)</f>
        <v/>
      </c>
      <c r="C242" s="16">
        <f>IF(228&gt;$C$8,"",C241+$C$6)</f>
        <v/>
      </c>
      <c r="D242" s="16">
        <f>IF(228&gt;$C$8,"",D241*(1+$C$7)+$C$6)</f>
        <v/>
      </c>
      <c r="E242" s="16">
        <f>IF(228&gt;$C$8,"",D242-C242)</f>
        <v/>
      </c>
    </row>
    <row r="243">
      <c r="A243" s="15">
        <f>IF(229&gt;$C$8,"",229)</f>
        <v/>
      </c>
      <c r="B243" s="16">
        <f>IF(229&gt;$C$8,"",$C$6)</f>
        <v/>
      </c>
      <c r="C243" s="16">
        <f>IF(229&gt;$C$8,"",C242+$C$6)</f>
        <v/>
      </c>
      <c r="D243" s="16">
        <f>IF(229&gt;$C$8,"",D242*(1+$C$7)+$C$6)</f>
        <v/>
      </c>
      <c r="E243" s="16">
        <f>IF(229&gt;$C$8,"",D243-C243)</f>
        <v/>
      </c>
    </row>
    <row r="244">
      <c r="A244" s="15">
        <f>IF(230&gt;$C$8,"",230)</f>
        <v/>
      </c>
      <c r="B244" s="16">
        <f>IF(230&gt;$C$8,"",$C$6)</f>
        <v/>
      </c>
      <c r="C244" s="16">
        <f>IF(230&gt;$C$8,"",C243+$C$6)</f>
        <v/>
      </c>
      <c r="D244" s="16">
        <f>IF(230&gt;$C$8,"",D243*(1+$C$7)+$C$6)</f>
        <v/>
      </c>
      <c r="E244" s="16">
        <f>IF(230&gt;$C$8,"",D244-C244)</f>
        <v/>
      </c>
    </row>
    <row r="245">
      <c r="A245" s="15">
        <f>IF(231&gt;$C$8,"",231)</f>
        <v/>
      </c>
      <c r="B245" s="16">
        <f>IF(231&gt;$C$8,"",$C$6)</f>
        <v/>
      </c>
      <c r="C245" s="16">
        <f>IF(231&gt;$C$8,"",C244+$C$6)</f>
        <v/>
      </c>
      <c r="D245" s="16">
        <f>IF(231&gt;$C$8,"",D244*(1+$C$7)+$C$6)</f>
        <v/>
      </c>
      <c r="E245" s="16">
        <f>IF(231&gt;$C$8,"",D245-C245)</f>
        <v/>
      </c>
    </row>
    <row r="246">
      <c r="A246" s="15">
        <f>IF(232&gt;$C$8,"",232)</f>
        <v/>
      </c>
      <c r="B246" s="16">
        <f>IF(232&gt;$C$8,"",$C$6)</f>
        <v/>
      </c>
      <c r="C246" s="16">
        <f>IF(232&gt;$C$8,"",C245+$C$6)</f>
        <v/>
      </c>
      <c r="D246" s="16">
        <f>IF(232&gt;$C$8,"",D245*(1+$C$7)+$C$6)</f>
        <v/>
      </c>
      <c r="E246" s="16">
        <f>IF(232&gt;$C$8,"",D246-C246)</f>
        <v/>
      </c>
    </row>
    <row r="247">
      <c r="A247" s="15">
        <f>IF(233&gt;$C$8,"",233)</f>
        <v/>
      </c>
      <c r="B247" s="16">
        <f>IF(233&gt;$C$8,"",$C$6)</f>
        <v/>
      </c>
      <c r="C247" s="16">
        <f>IF(233&gt;$C$8,"",C246+$C$6)</f>
        <v/>
      </c>
      <c r="D247" s="16">
        <f>IF(233&gt;$C$8,"",D246*(1+$C$7)+$C$6)</f>
        <v/>
      </c>
      <c r="E247" s="16">
        <f>IF(233&gt;$C$8,"",D247-C247)</f>
        <v/>
      </c>
    </row>
    <row r="248">
      <c r="A248" s="15">
        <f>IF(234&gt;$C$8,"",234)</f>
        <v/>
      </c>
      <c r="B248" s="16">
        <f>IF(234&gt;$C$8,"",$C$6)</f>
        <v/>
      </c>
      <c r="C248" s="16">
        <f>IF(234&gt;$C$8,"",C247+$C$6)</f>
        <v/>
      </c>
      <c r="D248" s="16">
        <f>IF(234&gt;$C$8,"",D247*(1+$C$7)+$C$6)</f>
        <v/>
      </c>
      <c r="E248" s="16">
        <f>IF(234&gt;$C$8,"",D248-C248)</f>
        <v/>
      </c>
    </row>
    <row r="249">
      <c r="A249" s="15">
        <f>IF(235&gt;$C$8,"",235)</f>
        <v/>
      </c>
      <c r="B249" s="16">
        <f>IF(235&gt;$C$8,"",$C$6)</f>
        <v/>
      </c>
      <c r="C249" s="16">
        <f>IF(235&gt;$C$8,"",C248+$C$6)</f>
        <v/>
      </c>
      <c r="D249" s="16">
        <f>IF(235&gt;$C$8,"",D248*(1+$C$7)+$C$6)</f>
        <v/>
      </c>
      <c r="E249" s="16">
        <f>IF(235&gt;$C$8,"",D249-C249)</f>
        <v/>
      </c>
    </row>
    <row r="250">
      <c r="A250" s="15">
        <f>IF(236&gt;$C$8,"",236)</f>
        <v/>
      </c>
      <c r="B250" s="16">
        <f>IF(236&gt;$C$8,"",$C$6)</f>
        <v/>
      </c>
      <c r="C250" s="16">
        <f>IF(236&gt;$C$8,"",C249+$C$6)</f>
        <v/>
      </c>
      <c r="D250" s="16">
        <f>IF(236&gt;$C$8,"",D249*(1+$C$7)+$C$6)</f>
        <v/>
      </c>
      <c r="E250" s="16">
        <f>IF(236&gt;$C$8,"",D250-C250)</f>
        <v/>
      </c>
    </row>
    <row r="251">
      <c r="A251" s="15">
        <f>IF(237&gt;$C$8,"",237)</f>
        <v/>
      </c>
      <c r="B251" s="16">
        <f>IF(237&gt;$C$8,"",$C$6)</f>
        <v/>
      </c>
      <c r="C251" s="16">
        <f>IF(237&gt;$C$8,"",C250+$C$6)</f>
        <v/>
      </c>
      <c r="D251" s="16">
        <f>IF(237&gt;$C$8,"",D250*(1+$C$7)+$C$6)</f>
        <v/>
      </c>
      <c r="E251" s="16">
        <f>IF(237&gt;$C$8,"",D251-C251)</f>
        <v/>
      </c>
    </row>
    <row r="252">
      <c r="A252" s="15">
        <f>IF(238&gt;$C$8,"",238)</f>
        <v/>
      </c>
      <c r="B252" s="16">
        <f>IF(238&gt;$C$8,"",$C$6)</f>
        <v/>
      </c>
      <c r="C252" s="16">
        <f>IF(238&gt;$C$8,"",C251+$C$6)</f>
        <v/>
      </c>
      <c r="D252" s="16">
        <f>IF(238&gt;$C$8,"",D251*(1+$C$7)+$C$6)</f>
        <v/>
      </c>
      <c r="E252" s="16">
        <f>IF(238&gt;$C$8,"",D252-C252)</f>
        <v/>
      </c>
    </row>
    <row r="253">
      <c r="A253" s="15">
        <f>IF(239&gt;$C$8,"",239)</f>
        <v/>
      </c>
      <c r="B253" s="16">
        <f>IF(239&gt;$C$8,"",$C$6)</f>
        <v/>
      </c>
      <c r="C253" s="16">
        <f>IF(239&gt;$C$8,"",C252+$C$6)</f>
        <v/>
      </c>
      <c r="D253" s="16">
        <f>IF(239&gt;$C$8,"",D252*(1+$C$7)+$C$6)</f>
        <v/>
      </c>
      <c r="E253" s="16">
        <f>IF(239&gt;$C$8,"",D253-C253)</f>
        <v/>
      </c>
    </row>
    <row r="254">
      <c r="A254" s="15">
        <f>IF(240&gt;$C$8,"",240)</f>
        <v/>
      </c>
      <c r="B254" s="16">
        <f>IF(240&gt;$C$8,"",$C$6)</f>
        <v/>
      </c>
      <c r="C254" s="16">
        <f>IF(240&gt;$C$8,"",C253+$C$6)</f>
        <v/>
      </c>
      <c r="D254" s="16">
        <f>IF(240&gt;$C$8,"",D253*(1+$C$7)+$C$6)</f>
        <v/>
      </c>
      <c r="E254" s="16">
        <f>IF(240&gt;$C$8,"",D254-C254)</f>
        <v/>
      </c>
    </row>
    <row r="255">
      <c r="A255" s="15">
        <f>IF(241&gt;$C$8,"",241)</f>
        <v/>
      </c>
      <c r="B255" s="16">
        <f>IF(241&gt;$C$8,"",$C$6)</f>
        <v/>
      </c>
      <c r="C255" s="16">
        <f>IF(241&gt;$C$8,"",C254+$C$6)</f>
        <v/>
      </c>
      <c r="D255" s="16">
        <f>IF(241&gt;$C$8,"",D254*(1+$C$7)+$C$6)</f>
        <v/>
      </c>
      <c r="E255" s="16">
        <f>IF(241&gt;$C$8,"",D255-C255)</f>
        <v/>
      </c>
    </row>
    <row r="256">
      <c r="A256" s="15">
        <f>IF(242&gt;$C$8,"",242)</f>
        <v/>
      </c>
      <c r="B256" s="16">
        <f>IF(242&gt;$C$8,"",$C$6)</f>
        <v/>
      </c>
      <c r="C256" s="16">
        <f>IF(242&gt;$C$8,"",C255+$C$6)</f>
        <v/>
      </c>
      <c r="D256" s="16">
        <f>IF(242&gt;$C$8,"",D255*(1+$C$7)+$C$6)</f>
        <v/>
      </c>
      <c r="E256" s="16">
        <f>IF(242&gt;$C$8,"",D256-C256)</f>
        <v/>
      </c>
    </row>
    <row r="257">
      <c r="A257" s="15">
        <f>IF(243&gt;$C$8,"",243)</f>
        <v/>
      </c>
      <c r="B257" s="16">
        <f>IF(243&gt;$C$8,"",$C$6)</f>
        <v/>
      </c>
      <c r="C257" s="16">
        <f>IF(243&gt;$C$8,"",C256+$C$6)</f>
        <v/>
      </c>
      <c r="D257" s="16">
        <f>IF(243&gt;$C$8,"",D256*(1+$C$7)+$C$6)</f>
        <v/>
      </c>
      <c r="E257" s="16">
        <f>IF(243&gt;$C$8,"",D257-C257)</f>
        <v/>
      </c>
    </row>
    <row r="258">
      <c r="A258" s="15">
        <f>IF(244&gt;$C$8,"",244)</f>
        <v/>
      </c>
      <c r="B258" s="16">
        <f>IF(244&gt;$C$8,"",$C$6)</f>
        <v/>
      </c>
      <c r="C258" s="16">
        <f>IF(244&gt;$C$8,"",C257+$C$6)</f>
        <v/>
      </c>
      <c r="D258" s="16">
        <f>IF(244&gt;$C$8,"",D257*(1+$C$7)+$C$6)</f>
        <v/>
      </c>
      <c r="E258" s="16">
        <f>IF(244&gt;$C$8,"",D258-C258)</f>
        <v/>
      </c>
    </row>
    <row r="259">
      <c r="A259" s="15">
        <f>IF(245&gt;$C$8,"",245)</f>
        <v/>
      </c>
      <c r="B259" s="16">
        <f>IF(245&gt;$C$8,"",$C$6)</f>
        <v/>
      </c>
      <c r="C259" s="16">
        <f>IF(245&gt;$C$8,"",C258+$C$6)</f>
        <v/>
      </c>
      <c r="D259" s="16">
        <f>IF(245&gt;$C$8,"",D258*(1+$C$7)+$C$6)</f>
        <v/>
      </c>
      <c r="E259" s="16">
        <f>IF(245&gt;$C$8,"",D259-C259)</f>
        <v/>
      </c>
    </row>
    <row r="260">
      <c r="A260" s="15">
        <f>IF(246&gt;$C$8,"",246)</f>
        <v/>
      </c>
      <c r="B260" s="16">
        <f>IF(246&gt;$C$8,"",$C$6)</f>
        <v/>
      </c>
      <c r="C260" s="16">
        <f>IF(246&gt;$C$8,"",C259+$C$6)</f>
        <v/>
      </c>
      <c r="D260" s="16">
        <f>IF(246&gt;$C$8,"",D259*(1+$C$7)+$C$6)</f>
        <v/>
      </c>
      <c r="E260" s="16">
        <f>IF(246&gt;$C$8,"",D260-C260)</f>
        <v/>
      </c>
    </row>
    <row r="261">
      <c r="A261" s="15">
        <f>IF(247&gt;$C$8,"",247)</f>
        <v/>
      </c>
      <c r="B261" s="16">
        <f>IF(247&gt;$C$8,"",$C$6)</f>
        <v/>
      </c>
      <c r="C261" s="16">
        <f>IF(247&gt;$C$8,"",C260+$C$6)</f>
        <v/>
      </c>
      <c r="D261" s="16">
        <f>IF(247&gt;$C$8,"",D260*(1+$C$7)+$C$6)</f>
        <v/>
      </c>
      <c r="E261" s="16">
        <f>IF(247&gt;$C$8,"",D261-C261)</f>
        <v/>
      </c>
    </row>
    <row r="262">
      <c r="A262" s="15">
        <f>IF(248&gt;$C$8,"",248)</f>
        <v/>
      </c>
      <c r="B262" s="16">
        <f>IF(248&gt;$C$8,"",$C$6)</f>
        <v/>
      </c>
      <c r="C262" s="16">
        <f>IF(248&gt;$C$8,"",C261+$C$6)</f>
        <v/>
      </c>
      <c r="D262" s="16">
        <f>IF(248&gt;$C$8,"",D261*(1+$C$7)+$C$6)</f>
        <v/>
      </c>
      <c r="E262" s="16">
        <f>IF(248&gt;$C$8,"",D262-C262)</f>
        <v/>
      </c>
    </row>
    <row r="263">
      <c r="A263" s="15">
        <f>IF(249&gt;$C$8,"",249)</f>
        <v/>
      </c>
      <c r="B263" s="16">
        <f>IF(249&gt;$C$8,"",$C$6)</f>
        <v/>
      </c>
      <c r="C263" s="16">
        <f>IF(249&gt;$C$8,"",C262+$C$6)</f>
        <v/>
      </c>
      <c r="D263" s="16">
        <f>IF(249&gt;$C$8,"",D262*(1+$C$7)+$C$6)</f>
        <v/>
      </c>
      <c r="E263" s="16">
        <f>IF(249&gt;$C$8,"",D263-C263)</f>
        <v/>
      </c>
    </row>
    <row r="264">
      <c r="A264" s="15">
        <f>IF(250&gt;$C$8,"",250)</f>
        <v/>
      </c>
      <c r="B264" s="16">
        <f>IF(250&gt;$C$8,"",$C$6)</f>
        <v/>
      </c>
      <c r="C264" s="16">
        <f>IF(250&gt;$C$8,"",C263+$C$6)</f>
        <v/>
      </c>
      <c r="D264" s="16">
        <f>IF(250&gt;$C$8,"",D263*(1+$C$7)+$C$6)</f>
        <v/>
      </c>
      <c r="E264" s="16">
        <f>IF(250&gt;$C$8,"",D264-C264)</f>
        <v/>
      </c>
    </row>
    <row r="265">
      <c r="A265" s="15">
        <f>IF(251&gt;$C$8,"",251)</f>
        <v/>
      </c>
      <c r="B265" s="16">
        <f>IF(251&gt;$C$8,"",$C$6)</f>
        <v/>
      </c>
      <c r="C265" s="16">
        <f>IF(251&gt;$C$8,"",C264+$C$6)</f>
        <v/>
      </c>
      <c r="D265" s="16">
        <f>IF(251&gt;$C$8,"",D264*(1+$C$7)+$C$6)</f>
        <v/>
      </c>
      <c r="E265" s="16">
        <f>IF(251&gt;$C$8,"",D265-C265)</f>
        <v/>
      </c>
    </row>
    <row r="266">
      <c r="A266" s="15">
        <f>IF(252&gt;$C$8,"",252)</f>
        <v/>
      </c>
      <c r="B266" s="16">
        <f>IF(252&gt;$C$8,"",$C$6)</f>
        <v/>
      </c>
      <c r="C266" s="16">
        <f>IF(252&gt;$C$8,"",C265+$C$6)</f>
        <v/>
      </c>
      <c r="D266" s="16">
        <f>IF(252&gt;$C$8,"",D265*(1+$C$7)+$C$6)</f>
        <v/>
      </c>
      <c r="E266" s="16">
        <f>IF(252&gt;$C$8,"",D266-C266)</f>
        <v/>
      </c>
    </row>
    <row r="267">
      <c r="A267" s="15">
        <f>IF(253&gt;$C$8,"",253)</f>
        <v/>
      </c>
      <c r="B267" s="16">
        <f>IF(253&gt;$C$8,"",$C$6)</f>
        <v/>
      </c>
      <c r="C267" s="16">
        <f>IF(253&gt;$C$8,"",C266+$C$6)</f>
        <v/>
      </c>
      <c r="D267" s="16">
        <f>IF(253&gt;$C$8,"",D266*(1+$C$7)+$C$6)</f>
        <v/>
      </c>
      <c r="E267" s="16">
        <f>IF(253&gt;$C$8,"",D267-C267)</f>
        <v/>
      </c>
    </row>
    <row r="268">
      <c r="A268" s="15">
        <f>IF(254&gt;$C$8,"",254)</f>
        <v/>
      </c>
      <c r="B268" s="16">
        <f>IF(254&gt;$C$8,"",$C$6)</f>
        <v/>
      </c>
      <c r="C268" s="16">
        <f>IF(254&gt;$C$8,"",C267+$C$6)</f>
        <v/>
      </c>
      <c r="D268" s="16">
        <f>IF(254&gt;$C$8,"",D267*(1+$C$7)+$C$6)</f>
        <v/>
      </c>
      <c r="E268" s="16">
        <f>IF(254&gt;$C$8,"",D268-C268)</f>
        <v/>
      </c>
    </row>
    <row r="269">
      <c r="A269" s="15">
        <f>IF(255&gt;$C$8,"",255)</f>
        <v/>
      </c>
      <c r="B269" s="16">
        <f>IF(255&gt;$C$8,"",$C$6)</f>
        <v/>
      </c>
      <c r="C269" s="16">
        <f>IF(255&gt;$C$8,"",C268+$C$6)</f>
        <v/>
      </c>
      <c r="D269" s="16">
        <f>IF(255&gt;$C$8,"",D268*(1+$C$7)+$C$6)</f>
        <v/>
      </c>
      <c r="E269" s="16">
        <f>IF(255&gt;$C$8,"",D269-C269)</f>
        <v/>
      </c>
    </row>
    <row r="270">
      <c r="A270" s="15">
        <f>IF(256&gt;$C$8,"",256)</f>
        <v/>
      </c>
      <c r="B270" s="16">
        <f>IF(256&gt;$C$8,"",$C$6)</f>
        <v/>
      </c>
      <c r="C270" s="16">
        <f>IF(256&gt;$C$8,"",C269+$C$6)</f>
        <v/>
      </c>
      <c r="D270" s="16">
        <f>IF(256&gt;$C$8,"",D269*(1+$C$7)+$C$6)</f>
        <v/>
      </c>
      <c r="E270" s="16">
        <f>IF(256&gt;$C$8,"",D270-C270)</f>
        <v/>
      </c>
    </row>
    <row r="271">
      <c r="A271" s="15">
        <f>IF(257&gt;$C$8,"",257)</f>
        <v/>
      </c>
      <c r="B271" s="16">
        <f>IF(257&gt;$C$8,"",$C$6)</f>
        <v/>
      </c>
      <c r="C271" s="16">
        <f>IF(257&gt;$C$8,"",C270+$C$6)</f>
        <v/>
      </c>
      <c r="D271" s="16">
        <f>IF(257&gt;$C$8,"",D270*(1+$C$7)+$C$6)</f>
        <v/>
      </c>
      <c r="E271" s="16">
        <f>IF(257&gt;$C$8,"",D271-C271)</f>
        <v/>
      </c>
    </row>
    <row r="272">
      <c r="A272" s="15">
        <f>IF(258&gt;$C$8,"",258)</f>
        <v/>
      </c>
      <c r="B272" s="16">
        <f>IF(258&gt;$C$8,"",$C$6)</f>
        <v/>
      </c>
      <c r="C272" s="16">
        <f>IF(258&gt;$C$8,"",C271+$C$6)</f>
        <v/>
      </c>
      <c r="D272" s="16">
        <f>IF(258&gt;$C$8,"",D271*(1+$C$7)+$C$6)</f>
        <v/>
      </c>
      <c r="E272" s="16">
        <f>IF(258&gt;$C$8,"",D272-C272)</f>
        <v/>
      </c>
    </row>
    <row r="273">
      <c r="A273" s="15">
        <f>IF(259&gt;$C$8,"",259)</f>
        <v/>
      </c>
      <c r="B273" s="16">
        <f>IF(259&gt;$C$8,"",$C$6)</f>
        <v/>
      </c>
      <c r="C273" s="16">
        <f>IF(259&gt;$C$8,"",C272+$C$6)</f>
        <v/>
      </c>
      <c r="D273" s="16">
        <f>IF(259&gt;$C$8,"",D272*(1+$C$7)+$C$6)</f>
        <v/>
      </c>
      <c r="E273" s="16">
        <f>IF(259&gt;$C$8,"",D273-C273)</f>
        <v/>
      </c>
    </row>
    <row r="274">
      <c r="A274" s="15">
        <f>IF(260&gt;$C$8,"",260)</f>
        <v/>
      </c>
      <c r="B274" s="16">
        <f>IF(260&gt;$C$8,"",$C$6)</f>
        <v/>
      </c>
      <c r="C274" s="16">
        <f>IF(260&gt;$C$8,"",C273+$C$6)</f>
        <v/>
      </c>
      <c r="D274" s="16">
        <f>IF(260&gt;$C$8,"",D273*(1+$C$7)+$C$6)</f>
        <v/>
      </c>
      <c r="E274" s="16">
        <f>IF(260&gt;$C$8,"",D274-C274)</f>
        <v/>
      </c>
    </row>
    <row r="275">
      <c r="A275" s="15">
        <f>IF(261&gt;$C$8,"",261)</f>
        <v/>
      </c>
      <c r="B275" s="16">
        <f>IF(261&gt;$C$8,"",$C$6)</f>
        <v/>
      </c>
      <c r="C275" s="16">
        <f>IF(261&gt;$C$8,"",C274+$C$6)</f>
        <v/>
      </c>
      <c r="D275" s="16">
        <f>IF(261&gt;$C$8,"",D274*(1+$C$7)+$C$6)</f>
        <v/>
      </c>
      <c r="E275" s="16">
        <f>IF(261&gt;$C$8,"",D275-C275)</f>
        <v/>
      </c>
    </row>
    <row r="276">
      <c r="A276" s="15">
        <f>IF(262&gt;$C$8,"",262)</f>
        <v/>
      </c>
      <c r="B276" s="16">
        <f>IF(262&gt;$C$8,"",$C$6)</f>
        <v/>
      </c>
      <c r="C276" s="16">
        <f>IF(262&gt;$C$8,"",C275+$C$6)</f>
        <v/>
      </c>
      <c r="D276" s="16">
        <f>IF(262&gt;$C$8,"",D275*(1+$C$7)+$C$6)</f>
        <v/>
      </c>
      <c r="E276" s="16">
        <f>IF(262&gt;$C$8,"",D276-C276)</f>
        <v/>
      </c>
    </row>
    <row r="277">
      <c r="A277" s="15">
        <f>IF(263&gt;$C$8,"",263)</f>
        <v/>
      </c>
      <c r="B277" s="16">
        <f>IF(263&gt;$C$8,"",$C$6)</f>
        <v/>
      </c>
      <c r="C277" s="16">
        <f>IF(263&gt;$C$8,"",C276+$C$6)</f>
        <v/>
      </c>
      <c r="D277" s="16">
        <f>IF(263&gt;$C$8,"",D276*(1+$C$7)+$C$6)</f>
        <v/>
      </c>
      <c r="E277" s="16">
        <f>IF(263&gt;$C$8,"",D277-C277)</f>
        <v/>
      </c>
    </row>
    <row r="278">
      <c r="A278" s="15">
        <f>IF(264&gt;$C$8,"",264)</f>
        <v/>
      </c>
      <c r="B278" s="16">
        <f>IF(264&gt;$C$8,"",$C$6)</f>
        <v/>
      </c>
      <c r="C278" s="16">
        <f>IF(264&gt;$C$8,"",C277+$C$6)</f>
        <v/>
      </c>
      <c r="D278" s="16">
        <f>IF(264&gt;$C$8,"",D277*(1+$C$7)+$C$6)</f>
        <v/>
      </c>
      <c r="E278" s="16">
        <f>IF(264&gt;$C$8,"",D278-C278)</f>
        <v/>
      </c>
    </row>
    <row r="279">
      <c r="A279" s="15">
        <f>IF(265&gt;$C$8,"",265)</f>
        <v/>
      </c>
      <c r="B279" s="16">
        <f>IF(265&gt;$C$8,"",$C$6)</f>
        <v/>
      </c>
      <c r="C279" s="16">
        <f>IF(265&gt;$C$8,"",C278+$C$6)</f>
        <v/>
      </c>
      <c r="D279" s="16">
        <f>IF(265&gt;$C$8,"",D278*(1+$C$7)+$C$6)</f>
        <v/>
      </c>
      <c r="E279" s="16">
        <f>IF(265&gt;$C$8,"",D279-C279)</f>
        <v/>
      </c>
    </row>
    <row r="280">
      <c r="A280" s="15">
        <f>IF(266&gt;$C$8,"",266)</f>
        <v/>
      </c>
      <c r="B280" s="16">
        <f>IF(266&gt;$C$8,"",$C$6)</f>
        <v/>
      </c>
      <c r="C280" s="16">
        <f>IF(266&gt;$C$8,"",C279+$C$6)</f>
        <v/>
      </c>
      <c r="D280" s="16">
        <f>IF(266&gt;$C$8,"",D279*(1+$C$7)+$C$6)</f>
        <v/>
      </c>
      <c r="E280" s="16">
        <f>IF(266&gt;$C$8,"",D280-C280)</f>
        <v/>
      </c>
    </row>
    <row r="281">
      <c r="A281" s="15">
        <f>IF(267&gt;$C$8,"",267)</f>
        <v/>
      </c>
      <c r="B281" s="16">
        <f>IF(267&gt;$C$8,"",$C$6)</f>
        <v/>
      </c>
      <c r="C281" s="16">
        <f>IF(267&gt;$C$8,"",C280+$C$6)</f>
        <v/>
      </c>
      <c r="D281" s="16">
        <f>IF(267&gt;$C$8,"",D280*(1+$C$7)+$C$6)</f>
        <v/>
      </c>
      <c r="E281" s="16">
        <f>IF(267&gt;$C$8,"",D281-C281)</f>
        <v/>
      </c>
    </row>
    <row r="282">
      <c r="A282" s="15">
        <f>IF(268&gt;$C$8,"",268)</f>
        <v/>
      </c>
      <c r="B282" s="16">
        <f>IF(268&gt;$C$8,"",$C$6)</f>
        <v/>
      </c>
      <c r="C282" s="16">
        <f>IF(268&gt;$C$8,"",C281+$C$6)</f>
        <v/>
      </c>
      <c r="D282" s="16">
        <f>IF(268&gt;$C$8,"",D281*(1+$C$7)+$C$6)</f>
        <v/>
      </c>
      <c r="E282" s="16">
        <f>IF(268&gt;$C$8,"",D282-C282)</f>
        <v/>
      </c>
    </row>
    <row r="283">
      <c r="A283" s="15">
        <f>IF(269&gt;$C$8,"",269)</f>
        <v/>
      </c>
      <c r="B283" s="16">
        <f>IF(269&gt;$C$8,"",$C$6)</f>
        <v/>
      </c>
      <c r="C283" s="16">
        <f>IF(269&gt;$C$8,"",C282+$C$6)</f>
        <v/>
      </c>
      <c r="D283" s="16">
        <f>IF(269&gt;$C$8,"",D282*(1+$C$7)+$C$6)</f>
        <v/>
      </c>
      <c r="E283" s="16">
        <f>IF(269&gt;$C$8,"",D283-C283)</f>
        <v/>
      </c>
    </row>
    <row r="284">
      <c r="A284" s="15">
        <f>IF(270&gt;$C$8,"",270)</f>
        <v/>
      </c>
      <c r="B284" s="16">
        <f>IF(270&gt;$C$8,"",$C$6)</f>
        <v/>
      </c>
      <c r="C284" s="16">
        <f>IF(270&gt;$C$8,"",C283+$C$6)</f>
        <v/>
      </c>
      <c r="D284" s="16">
        <f>IF(270&gt;$C$8,"",D283*(1+$C$7)+$C$6)</f>
        <v/>
      </c>
      <c r="E284" s="16">
        <f>IF(270&gt;$C$8,"",D284-C284)</f>
        <v/>
      </c>
    </row>
    <row r="285">
      <c r="A285" s="15">
        <f>IF(271&gt;$C$8,"",271)</f>
        <v/>
      </c>
      <c r="B285" s="16">
        <f>IF(271&gt;$C$8,"",$C$6)</f>
        <v/>
      </c>
      <c r="C285" s="16">
        <f>IF(271&gt;$C$8,"",C284+$C$6)</f>
        <v/>
      </c>
      <c r="D285" s="16">
        <f>IF(271&gt;$C$8,"",D284*(1+$C$7)+$C$6)</f>
        <v/>
      </c>
      <c r="E285" s="16">
        <f>IF(271&gt;$C$8,"",D285-C285)</f>
        <v/>
      </c>
    </row>
    <row r="286">
      <c r="A286" s="15">
        <f>IF(272&gt;$C$8,"",272)</f>
        <v/>
      </c>
      <c r="B286" s="16">
        <f>IF(272&gt;$C$8,"",$C$6)</f>
        <v/>
      </c>
      <c r="C286" s="16">
        <f>IF(272&gt;$C$8,"",C285+$C$6)</f>
        <v/>
      </c>
      <c r="D286" s="16">
        <f>IF(272&gt;$C$8,"",D285*(1+$C$7)+$C$6)</f>
        <v/>
      </c>
      <c r="E286" s="16">
        <f>IF(272&gt;$C$8,"",D286-C286)</f>
        <v/>
      </c>
    </row>
    <row r="287">
      <c r="A287" s="15">
        <f>IF(273&gt;$C$8,"",273)</f>
        <v/>
      </c>
      <c r="B287" s="16">
        <f>IF(273&gt;$C$8,"",$C$6)</f>
        <v/>
      </c>
      <c r="C287" s="16">
        <f>IF(273&gt;$C$8,"",C286+$C$6)</f>
        <v/>
      </c>
      <c r="D287" s="16">
        <f>IF(273&gt;$C$8,"",D286*(1+$C$7)+$C$6)</f>
        <v/>
      </c>
      <c r="E287" s="16">
        <f>IF(273&gt;$C$8,"",D287-C287)</f>
        <v/>
      </c>
    </row>
    <row r="288">
      <c r="A288" s="15">
        <f>IF(274&gt;$C$8,"",274)</f>
        <v/>
      </c>
      <c r="B288" s="16">
        <f>IF(274&gt;$C$8,"",$C$6)</f>
        <v/>
      </c>
      <c r="C288" s="16">
        <f>IF(274&gt;$C$8,"",C287+$C$6)</f>
        <v/>
      </c>
      <c r="D288" s="16">
        <f>IF(274&gt;$C$8,"",D287*(1+$C$7)+$C$6)</f>
        <v/>
      </c>
      <c r="E288" s="16">
        <f>IF(274&gt;$C$8,"",D288-C288)</f>
        <v/>
      </c>
    </row>
    <row r="289">
      <c r="A289" s="15">
        <f>IF(275&gt;$C$8,"",275)</f>
        <v/>
      </c>
      <c r="B289" s="16">
        <f>IF(275&gt;$C$8,"",$C$6)</f>
        <v/>
      </c>
      <c r="C289" s="16">
        <f>IF(275&gt;$C$8,"",C288+$C$6)</f>
        <v/>
      </c>
      <c r="D289" s="16">
        <f>IF(275&gt;$C$8,"",D288*(1+$C$7)+$C$6)</f>
        <v/>
      </c>
      <c r="E289" s="16">
        <f>IF(275&gt;$C$8,"",D289-C289)</f>
        <v/>
      </c>
    </row>
    <row r="290">
      <c r="A290" s="15">
        <f>IF(276&gt;$C$8,"",276)</f>
        <v/>
      </c>
      <c r="B290" s="16">
        <f>IF(276&gt;$C$8,"",$C$6)</f>
        <v/>
      </c>
      <c r="C290" s="16">
        <f>IF(276&gt;$C$8,"",C289+$C$6)</f>
        <v/>
      </c>
      <c r="D290" s="16">
        <f>IF(276&gt;$C$8,"",D289*(1+$C$7)+$C$6)</f>
        <v/>
      </c>
      <c r="E290" s="16">
        <f>IF(276&gt;$C$8,"",D290-C290)</f>
        <v/>
      </c>
    </row>
    <row r="291">
      <c r="A291" s="15">
        <f>IF(277&gt;$C$8,"",277)</f>
        <v/>
      </c>
      <c r="B291" s="16">
        <f>IF(277&gt;$C$8,"",$C$6)</f>
        <v/>
      </c>
      <c r="C291" s="16">
        <f>IF(277&gt;$C$8,"",C290+$C$6)</f>
        <v/>
      </c>
      <c r="D291" s="16">
        <f>IF(277&gt;$C$8,"",D290*(1+$C$7)+$C$6)</f>
        <v/>
      </c>
      <c r="E291" s="16">
        <f>IF(277&gt;$C$8,"",D291-C291)</f>
        <v/>
      </c>
    </row>
    <row r="292">
      <c r="A292" s="15">
        <f>IF(278&gt;$C$8,"",278)</f>
        <v/>
      </c>
      <c r="B292" s="16">
        <f>IF(278&gt;$C$8,"",$C$6)</f>
        <v/>
      </c>
      <c r="C292" s="16">
        <f>IF(278&gt;$C$8,"",C291+$C$6)</f>
        <v/>
      </c>
      <c r="D292" s="16">
        <f>IF(278&gt;$C$8,"",D291*(1+$C$7)+$C$6)</f>
        <v/>
      </c>
      <c r="E292" s="16">
        <f>IF(278&gt;$C$8,"",D292-C292)</f>
        <v/>
      </c>
    </row>
    <row r="293">
      <c r="A293" s="15">
        <f>IF(279&gt;$C$8,"",279)</f>
        <v/>
      </c>
      <c r="B293" s="16">
        <f>IF(279&gt;$C$8,"",$C$6)</f>
        <v/>
      </c>
      <c r="C293" s="16">
        <f>IF(279&gt;$C$8,"",C292+$C$6)</f>
        <v/>
      </c>
      <c r="D293" s="16">
        <f>IF(279&gt;$C$8,"",D292*(1+$C$7)+$C$6)</f>
        <v/>
      </c>
      <c r="E293" s="16">
        <f>IF(279&gt;$C$8,"",D293-C293)</f>
        <v/>
      </c>
    </row>
    <row r="294">
      <c r="A294" s="15">
        <f>IF(280&gt;$C$8,"",280)</f>
        <v/>
      </c>
      <c r="B294" s="16">
        <f>IF(280&gt;$C$8,"",$C$6)</f>
        <v/>
      </c>
      <c r="C294" s="16">
        <f>IF(280&gt;$C$8,"",C293+$C$6)</f>
        <v/>
      </c>
      <c r="D294" s="16">
        <f>IF(280&gt;$C$8,"",D293*(1+$C$7)+$C$6)</f>
        <v/>
      </c>
      <c r="E294" s="16">
        <f>IF(280&gt;$C$8,"",D294-C294)</f>
        <v/>
      </c>
    </row>
    <row r="295">
      <c r="A295" s="15">
        <f>IF(281&gt;$C$8,"",281)</f>
        <v/>
      </c>
      <c r="B295" s="16">
        <f>IF(281&gt;$C$8,"",$C$6)</f>
        <v/>
      </c>
      <c r="C295" s="16">
        <f>IF(281&gt;$C$8,"",C294+$C$6)</f>
        <v/>
      </c>
      <c r="D295" s="16">
        <f>IF(281&gt;$C$8,"",D294*(1+$C$7)+$C$6)</f>
        <v/>
      </c>
      <c r="E295" s="16">
        <f>IF(281&gt;$C$8,"",D295-C295)</f>
        <v/>
      </c>
    </row>
    <row r="296">
      <c r="A296" s="15">
        <f>IF(282&gt;$C$8,"",282)</f>
        <v/>
      </c>
      <c r="B296" s="16">
        <f>IF(282&gt;$C$8,"",$C$6)</f>
        <v/>
      </c>
      <c r="C296" s="16">
        <f>IF(282&gt;$C$8,"",C295+$C$6)</f>
        <v/>
      </c>
      <c r="D296" s="16">
        <f>IF(282&gt;$C$8,"",D295*(1+$C$7)+$C$6)</f>
        <v/>
      </c>
      <c r="E296" s="16">
        <f>IF(282&gt;$C$8,"",D296-C296)</f>
        <v/>
      </c>
    </row>
    <row r="297">
      <c r="A297" s="15">
        <f>IF(283&gt;$C$8,"",283)</f>
        <v/>
      </c>
      <c r="B297" s="16">
        <f>IF(283&gt;$C$8,"",$C$6)</f>
        <v/>
      </c>
      <c r="C297" s="16">
        <f>IF(283&gt;$C$8,"",C296+$C$6)</f>
        <v/>
      </c>
      <c r="D297" s="16">
        <f>IF(283&gt;$C$8,"",D296*(1+$C$7)+$C$6)</f>
        <v/>
      </c>
      <c r="E297" s="16">
        <f>IF(283&gt;$C$8,"",D297-C297)</f>
        <v/>
      </c>
    </row>
    <row r="298">
      <c r="A298" s="15">
        <f>IF(284&gt;$C$8,"",284)</f>
        <v/>
      </c>
      <c r="B298" s="16">
        <f>IF(284&gt;$C$8,"",$C$6)</f>
        <v/>
      </c>
      <c r="C298" s="16">
        <f>IF(284&gt;$C$8,"",C297+$C$6)</f>
        <v/>
      </c>
      <c r="D298" s="16">
        <f>IF(284&gt;$C$8,"",D297*(1+$C$7)+$C$6)</f>
        <v/>
      </c>
      <c r="E298" s="16">
        <f>IF(284&gt;$C$8,"",D298-C298)</f>
        <v/>
      </c>
    </row>
    <row r="299">
      <c r="A299" s="15">
        <f>IF(285&gt;$C$8,"",285)</f>
        <v/>
      </c>
      <c r="B299" s="16">
        <f>IF(285&gt;$C$8,"",$C$6)</f>
        <v/>
      </c>
      <c r="C299" s="16">
        <f>IF(285&gt;$C$8,"",C298+$C$6)</f>
        <v/>
      </c>
      <c r="D299" s="16">
        <f>IF(285&gt;$C$8,"",D298*(1+$C$7)+$C$6)</f>
        <v/>
      </c>
      <c r="E299" s="16">
        <f>IF(285&gt;$C$8,"",D299-C299)</f>
        <v/>
      </c>
    </row>
    <row r="300">
      <c r="A300" s="15">
        <f>IF(286&gt;$C$8,"",286)</f>
        <v/>
      </c>
      <c r="B300" s="16">
        <f>IF(286&gt;$C$8,"",$C$6)</f>
        <v/>
      </c>
      <c r="C300" s="16">
        <f>IF(286&gt;$C$8,"",C299+$C$6)</f>
        <v/>
      </c>
      <c r="D300" s="16">
        <f>IF(286&gt;$C$8,"",D299*(1+$C$7)+$C$6)</f>
        <v/>
      </c>
      <c r="E300" s="16">
        <f>IF(286&gt;$C$8,"",D300-C300)</f>
        <v/>
      </c>
    </row>
    <row r="301">
      <c r="A301" s="15">
        <f>IF(287&gt;$C$8,"",287)</f>
        <v/>
      </c>
      <c r="B301" s="16">
        <f>IF(287&gt;$C$8,"",$C$6)</f>
        <v/>
      </c>
      <c r="C301" s="16">
        <f>IF(287&gt;$C$8,"",C300+$C$6)</f>
        <v/>
      </c>
      <c r="D301" s="16">
        <f>IF(287&gt;$C$8,"",D300*(1+$C$7)+$C$6)</f>
        <v/>
      </c>
      <c r="E301" s="16">
        <f>IF(287&gt;$C$8,"",D301-C301)</f>
        <v/>
      </c>
    </row>
    <row r="302">
      <c r="A302" s="15">
        <f>IF(288&gt;$C$8,"",288)</f>
        <v/>
      </c>
      <c r="B302" s="16">
        <f>IF(288&gt;$C$8,"",$C$6)</f>
        <v/>
      </c>
      <c r="C302" s="16">
        <f>IF(288&gt;$C$8,"",C301+$C$6)</f>
        <v/>
      </c>
      <c r="D302" s="16">
        <f>IF(288&gt;$C$8,"",D301*(1+$C$7)+$C$6)</f>
        <v/>
      </c>
      <c r="E302" s="16">
        <f>IF(288&gt;$C$8,"",D302-C302)</f>
        <v/>
      </c>
    </row>
    <row r="303">
      <c r="A303" s="15">
        <f>IF(289&gt;$C$8,"",289)</f>
        <v/>
      </c>
      <c r="B303" s="16">
        <f>IF(289&gt;$C$8,"",$C$6)</f>
        <v/>
      </c>
      <c r="C303" s="16">
        <f>IF(289&gt;$C$8,"",C302+$C$6)</f>
        <v/>
      </c>
      <c r="D303" s="16">
        <f>IF(289&gt;$C$8,"",D302*(1+$C$7)+$C$6)</f>
        <v/>
      </c>
      <c r="E303" s="16">
        <f>IF(289&gt;$C$8,"",D303-C303)</f>
        <v/>
      </c>
    </row>
    <row r="304">
      <c r="A304" s="15">
        <f>IF(290&gt;$C$8,"",290)</f>
        <v/>
      </c>
      <c r="B304" s="16">
        <f>IF(290&gt;$C$8,"",$C$6)</f>
        <v/>
      </c>
      <c r="C304" s="16">
        <f>IF(290&gt;$C$8,"",C303+$C$6)</f>
        <v/>
      </c>
      <c r="D304" s="16">
        <f>IF(290&gt;$C$8,"",D303*(1+$C$7)+$C$6)</f>
        <v/>
      </c>
      <c r="E304" s="16">
        <f>IF(290&gt;$C$8,"",D304-C304)</f>
        <v/>
      </c>
    </row>
    <row r="305">
      <c r="A305" s="15">
        <f>IF(291&gt;$C$8,"",291)</f>
        <v/>
      </c>
      <c r="B305" s="16">
        <f>IF(291&gt;$C$8,"",$C$6)</f>
        <v/>
      </c>
      <c r="C305" s="16">
        <f>IF(291&gt;$C$8,"",C304+$C$6)</f>
        <v/>
      </c>
      <c r="D305" s="16">
        <f>IF(291&gt;$C$8,"",D304*(1+$C$7)+$C$6)</f>
        <v/>
      </c>
      <c r="E305" s="16">
        <f>IF(291&gt;$C$8,"",D305-C305)</f>
        <v/>
      </c>
    </row>
    <row r="306">
      <c r="A306" s="15">
        <f>IF(292&gt;$C$8,"",292)</f>
        <v/>
      </c>
      <c r="B306" s="16">
        <f>IF(292&gt;$C$8,"",$C$6)</f>
        <v/>
      </c>
      <c r="C306" s="16">
        <f>IF(292&gt;$C$8,"",C305+$C$6)</f>
        <v/>
      </c>
      <c r="D306" s="16">
        <f>IF(292&gt;$C$8,"",D305*(1+$C$7)+$C$6)</f>
        <v/>
      </c>
      <c r="E306" s="16">
        <f>IF(292&gt;$C$8,"",D306-C306)</f>
        <v/>
      </c>
    </row>
    <row r="307">
      <c r="A307" s="15">
        <f>IF(293&gt;$C$8,"",293)</f>
        <v/>
      </c>
      <c r="B307" s="16">
        <f>IF(293&gt;$C$8,"",$C$6)</f>
        <v/>
      </c>
      <c r="C307" s="16">
        <f>IF(293&gt;$C$8,"",C306+$C$6)</f>
        <v/>
      </c>
      <c r="D307" s="16">
        <f>IF(293&gt;$C$8,"",D306*(1+$C$7)+$C$6)</f>
        <v/>
      </c>
      <c r="E307" s="16">
        <f>IF(293&gt;$C$8,"",D307-C307)</f>
        <v/>
      </c>
    </row>
    <row r="308">
      <c r="A308" s="15">
        <f>IF(294&gt;$C$8,"",294)</f>
        <v/>
      </c>
      <c r="B308" s="16">
        <f>IF(294&gt;$C$8,"",$C$6)</f>
        <v/>
      </c>
      <c r="C308" s="16">
        <f>IF(294&gt;$C$8,"",C307+$C$6)</f>
        <v/>
      </c>
      <c r="D308" s="16">
        <f>IF(294&gt;$C$8,"",D307*(1+$C$7)+$C$6)</f>
        <v/>
      </c>
      <c r="E308" s="16">
        <f>IF(294&gt;$C$8,"",D308-C308)</f>
        <v/>
      </c>
    </row>
    <row r="309">
      <c r="A309" s="15">
        <f>IF(295&gt;$C$8,"",295)</f>
        <v/>
      </c>
      <c r="B309" s="16">
        <f>IF(295&gt;$C$8,"",$C$6)</f>
        <v/>
      </c>
      <c r="C309" s="16">
        <f>IF(295&gt;$C$8,"",C308+$C$6)</f>
        <v/>
      </c>
      <c r="D309" s="16">
        <f>IF(295&gt;$C$8,"",D308*(1+$C$7)+$C$6)</f>
        <v/>
      </c>
      <c r="E309" s="16">
        <f>IF(295&gt;$C$8,"",D309-C309)</f>
        <v/>
      </c>
    </row>
    <row r="310">
      <c r="A310" s="15">
        <f>IF(296&gt;$C$8,"",296)</f>
        <v/>
      </c>
      <c r="B310" s="16">
        <f>IF(296&gt;$C$8,"",$C$6)</f>
        <v/>
      </c>
      <c r="C310" s="16">
        <f>IF(296&gt;$C$8,"",C309+$C$6)</f>
        <v/>
      </c>
      <c r="D310" s="16">
        <f>IF(296&gt;$C$8,"",D309*(1+$C$7)+$C$6)</f>
        <v/>
      </c>
      <c r="E310" s="16">
        <f>IF(296&gt;$C$8,"",D310-C310)</f>
        <v/>
      </c>
    </row>
    <row r="311">
      <c r="A311" s="15">
        <f>IF(297&gt;$C$8,"",297)</f>
        <v/>
      </c>
      <c r="B311" s="16">
        <f>IF(297&gt;$C$8,"",$C$6)</f>
        <v/>
      </c>
      <c r="C311" s="16">
        <f>IF(297&gt;$C$8,"",C310+$C$6)</f>
        <v/>
      </c>
      <c r="D311" s="16">
        <f>IF(297&gt;$C$8,"",D310*(1+$C$7)+$C$6)</f>
        <v/>
      </c>
      <c r="E311" s="16">
        <f>IF(297&gt;$C$8,"",D311-C311)</f>
        <v/>
      </c>
    </row>
    <row r="312">
      <c r="A312" s="15">
        <f>IF(298&gt;$C$8,"",298)</f>
        <v/>
      </c>
      <c r="B312" s="16">
        <f>IF(298&gt;$C$8,"",$C$6)</f>
        <v/>
      </c>
      <c r="C312" s="16">
        <f>IF(298&gt;$C$8,"",C311+$C$6)</f>
        <v/>
      </c>
      <c r="D312" s="16">
        <f>IF(298&gt;$C$8,"",D311*(1+$C$7)+$C$6)</f>
        <v/>
      </c>
      <c r="E312" s="16">
        <f>IF(298&gt;$C$8,"",D312-C312)</f>
        <v/>
      </c>
    </row>
    <row r="313">
      <c r="A313" s="15">
        <f>IF(299&gt;$C$8,"",299)</f>
        <v/>
      </c>
      <c r="B313" s="16">
        <f>IF(299&gt;$C$8,"",$C$6)</f>
        <v/>
      </c>
      <c r="C313" s="16">
        <f>IF(299&gt;$C$8,"",C312+$C$6)</f>
        <v/>
      </c>
      <c r="D313" s="16">
        <f>IF(299&gt;$C$8,"",D312*(1+$C$7)+$C$6)</f>
        <v/>
      </c>
      <c r="E313" s="16">
        <f>IF(299&gt;$C$8,"",D313-C313)</f>
        <v/>
      </c>
    </row>
    <row r="314">
      <c r="A314" s="15">
        <f>IF(300&gt;$C$8,"",300)</f>
        <v/>
      </c>
      <c r="B314" s="16">
        <f>IF(300&gt;$C$8,"",$C$6)</f>
        <v/>
      </c>
      <c r="C314" s="16">
        <f>IF(300&gt;$C$8,"",C313+$C$6)</f>
        <v/>
      </c>
      <c r="D314" s="16">
        <f>IF(300&gt;$C$8,"",D313*(1+$C$7)+$C$6)</f>
        <v/>
      </c>
      <c r="E314" s="16">
        <f>IF(300&gt;$C$8,"",D314-C314)</f>
        <v/>
      </c>
    </row>
    <row r="316">
      <c r="A316" s="17" t="inlineStr">
        <is>
          <t>Feito por Raria.ia  ·  rariaia.com.br  ·  @rariaia</t>
        </is>
      </c>
    </row>
  </sheetData>
  <mergeCells count="3">
    <mergeCell ref="A316:F316"/>
    <mergeCell ref="A2:F2"/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2026-08-14T19:26:15Z</dcterms:created>
  <dcterms:modified xmlns:dcterms="http://purl.org/dc/terms/" xmlns:xsi="http://www.w3.org/2001/XMLSchema-instance" xsi:type="dcterms:W3CDTF">2026-08-14T19:26:15Z</dcterms:modified>
</cp:coreProperties>
</file>